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2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лот2!$A:$G</definedName>
    <definedName name="_xlnm.Print_Area" localSheetId="0">лот2!$A$1:$BI$44</definedName>
  </definedNames>
  <calcPr calcId="125725"/>
</workbook>
</file>

<file path=xl/calcChain.xml><?xml version="1.0" encoding="utf-8"?>
<calcChain xmlns="http://schemas.openxmlformats.org/spreadsheetml/2006/main">
  <c r="AA33" i="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34" s="1"/>
  <c r="AA36" s="1"/>
  <c r="BI33"/>
  <c r="BI32"/>
  <c r="BI31"/>
  <c r="BI30"/>
  <c r="BI29"/>
  <c r="BI28" s="1"/>
  <c r="BI27"/>
  <c r="BI26"/>
  <c r="BI25"/>
  <c r="BI24"/>
  <c r="BI23"/>
  <c r="BI21"/>
  <c r="BI20"/>
  <c r="BI19"/>
  <c r="BI18"/>
  <c r="BI17"/>
  <c r="BI16"/>
  <c r="BI15"/>
  <c r="BI14" s="1"/>
  <c r="BI9"/>
  <c r="BH33"/>
  <c r="BG33"/>
  <c r="BH32"/>
  <c r="BG32"/>
  <c r="BH31"/>
  <c r="BG31"/>
  <c r="BH30"/>
  <c r="BG30"/>
  <c r="BH29"/>
  <c r="BG29"/>
  <c r="BH28"/>
  <c r="BG28"/>
  <c r="BH27"/>
  <c r="BG27"/>
  <c r="BH26"/>
  <c r="BG26"/>
  <c r="BH25"/>
  <c r="BG25"/>
  <c r="BH24"/>
  <c r="BG24"/>
  <c r="BH23"/>
  <c r="BG23"/>
  <c r="BH22"/>
  <c r="BG22"/>
  <c r="BH21"/>
  <c r="BG21"/>
  <c r="BH20"/>
  <c r="BG20"/>
  <c r="BH19"/>
  <c r="BG19"/>
  <c r="BH18"/>
  <c r="BG18"/>
  <c r="BH17"/>
  <c r="BG17"/>
  <c r="BH16"/>
  <c r="BG16"/>
  <c r="BH15"/>
  <c r="BG15"/>
  <c r="BH14"/>
  <c r="BH34" s="1"/>
  <c r="BH36" s="1"/>
  <c r="BG14"/>
  <c r="BG34" s="1"/>
  <c r="BG36" s="1"/>
  <c r="BH9"/>
  <c r="BG9"/>
  <c r="BF33"/>
  <c r="BE33"/>
  <c r="BD33"/>
  <c r="BC33"/>
  <c r="BF32"/>
  <c r="BE32"/>
  <c r="BD32"/>
  <c r="BC32"/>
  <c r="BF31"/>
  <c r="BE31"/>
  <c r="BD31"/>
  <c r="BC31"/>
  <c r="BF30"/>
  <c r="BE30"/>
  <c r="BD30"/>
  <c r="BC30"/>
  <c r="BF29"/>
  <c r="BE29"/>
  <c r="BD29"/>
  <c r="BD28" s="1"/>
  <c r="BC29"/>
  <c r="BC28" s="1"/>
  <c r="BF28"/>
  <c r="BE28"/>
  <c r="BF27"/>
  <c r="BE27"/>
  <c r="BD27"/>
  <c r="BC27"/>
  <c r="BF26"/>
  <c r="BE26"/>
  <c r="BD26"/>
  <c r="BC26"/>
  <c r="BF25"/>
  <c r="BE25"/>
  <c r="BD25"/>
  <c r="BC25"/>
  <c r="BF24"/>
  <c r="BE24"/>
  <c r="BD24"/>
  <c r="BC24"/>
  <c r="BF23"/>
  <c r="BE23"/>
  <c r="BD23"/>
  <c r="BC23"/>
  <c r="BF22"/>
  <c r="BE22"/>
  <c r="BD22"/>
  <c r="BC22"/>
  <c r="BF21"/>
  <c r="BE21"/>
  <c r="BD21"/>
  <c r="BC21"/>
  <c r="BF20"/>
  <c r="BE20"/>
  <c r="BD20"/>
  <c r="BC20"/>
  <c r="BF19"/>
  <c r="BE19"/>
  <c r="BD19"/>
  <c r="BC19"/>
  <c r="BF18"/>
  <c r="BE18"/>
  <c r="BD18"/>
  <c r="BC18"/>
  <c r="BF17"/>
  <c r="BE17"/>
  <c r="BD17"/>
  <c r="BC17"/>
  <c r="BF16"/>
  <c r="BE16"/>
  <c r="BD16"/>
  <c r="BC16"/>
  <c r="BF15"/>
  <c r="BE15"/>
  <c r="BD15"/>
  <c r="BC15"/>
  <c r="BC14" s="1"/>
  <c r="BC34" s="1"/>
  <c r="BC36" s="1"/>
  <c r="BF9"/>
  <c r="BE9"/>
  <c r="BD9"/>
  <c r="BC9"/>
  <c r="BB33"/>
  <c r="BA33"/>
  <c r="AZ33"/>
  <c r="AY33"/>
  <c r="BB32"/>
  <c r="BA32"/>
  <c r="AZ32"/>
  <c r="AY32"/>
  <c r="BB31"/>
  <c r="BA31"/>
  <c r="AZ31"/>
  <c r="AY31"/>
  <c r="BB30"/>
  <c r="BA30"/>
  <c r="AZ30"/>
  <c r="AY30"/>
  <c r="BB29"/>
  <c r="BA29"/>
  <c r="AZ29"/>
  <c r="AY29"/>
  <c r="BB28"/>
  <c r="BA28"/>
  <c r="AZ28"/>
  <c r="AY28"/>
  <c r="BB27"/>
  <c r="BA27"/>
  <c r="AZ27"/>
  <c r="AY27"/>
  <c r="BB26"/>
  <c r="BA26"/>
  <c r="AZ26"/>
  <c r="AY26"/>
  <c r="BB25"/>
  <c r="BA25"/>
  <c r="AZ25"/>
  <c r="AY25"/>
  <c r="BB24"/>
  <c r="BA24"/>
  <c r="AZ24"/>
  <c r="AY24"/>
  <c r="BB23"/>
  <c r="BA23"/>
  <c r="AZ23"/>
  <c r="AY23"/>
  <c r="BB22"/>
  <c r="BA22"/>
  <c r="AZ22"/>
  <c r="BB21"/>
  <c r="BA21"/>
  <c r="AZ21"/>
  <c r="AY21"/>
  <c r="BB20"/>
  <c r="BA20"/>
  <c r="AZ20"/>
  <c r="AY20"/>
  <c r="BB19"/>
  <c r="BA19"/>
  <c r="AZ19"/>
  <c r="AY19"/>
  <c r="BB18"/>
  <c r="BA18"/>
  <c r="AZ18"/>
  <c r="AY18"/>
  <c r="BB17"/>
  <c r="BA17"/>
  <c r="AZ17"/>
  <c r="AY17"/>
  <c r="BB16"/>
  <c r="BA16"/>
  <c r="AZ16"/>
  <c r="AY16"/>
  <c r="BB15"/>
  <c r="BA15"/>
  <c r="AZ15"/>
  <c r="AY15"/>
  <c r="AY14" s="1"/>
  <c r="BB14"/>
  <c r="BA14"/>
  <c r="AZ14"/>
  <c r="BB9"/>
  <c r="BA9"/>
  <c r="AZ9"/>
  <c r="AY9"/>
  <c r="AX33"/>
  <c r="AW33"/>
  <c r="AV33"/>
  <c r="AU33"/>
  <c r="AX32"/>
  <c r="AW32"/>
  <c r="AV32"/>
  <c r="AU32"/>
  <c r="AX31"/>
  <c r="AW31"/>
  <c r="AV31"/>
  <c r="AU31"/>
  <c r="AT31"/>
  <c r="AX30"/>
  <c r="AW30"/>
  <c r="AV30"/>
  <c r="AU30"/>
  <c r="AX29"/>
  <c r="AX28" s="1"/>
  <c r="AW29"/>
  <c r="AV29"/>
  <c r="AV28" s="1"/>
  <c r="AU29"/>
  <c r="AT29"/>
  <c r="AT28" s="1"/>
  <c r="AW28"/>
  <c r="AU28"/>
  <c r="AX27"/>
  <c r="AW27"/>
  <c r="AV27"/>
  <c r="AU27"/>
  <c r="AT27"/>
  <c r="AX26"/>
  <c r="AW26"/>
  <c r="AV26"/>
  <c r="AU26"/>
  <c r="AT26"/>
  <c r="AX25"/>
  <c r="AW25"/>
  <c r="AV25"/>
  <c r="AU25"/>
  <c r="AX24"/>
  <c r="AW24"/>
  <c r="AV24"/>
  <c r="AU24"/>
  <c r="AX23"/>
  <c r="AW23"/>
  <c r="AV23"/>
  <c r="AV22" s="1"/>
  <c r="AU23"/>
  <c r="AX22"/>
  <c r="AT22"/>
  <c r="AX21"/>
  <c r="AW21"/>
  <c r="AV21"/>
  <c r="AU21"/>
  <c r="AX20"/>
  <c r="AW20"/>
  <c r="AV20"/>
  <c r="AU20"/>
  <c r="AX19"/>
  <c r="AW19"/>
  <c r="AV19"/>
  <c r="AU19"/>
  <c r="AX18"/>
  <c r="AW18"/>
  <c r="AV18"/>
  <c r="AU18"/>
  <c r="AX17"/>
  <c r="AW17"/>
  <c r="AV17"/>
  <c r="AU17"/>
  <c r="AX16"/>
  <c r="AW16"/>
  <c r="AV16"/>
  <c r="AU16"/>
  <c r="AX15"/>
  <c r="AW15"/>
  <c r="AV15"/>
  <c r="AU15"/>
  <c r="AX14"/>
  <c r="AX34" s="1"/>
  <c r="AX36" s="1"/>
  <c r="AW14"/>
  <c r="AV14"/>
  <c r="AU14"/>
  <c r="AT14"/>
  <c r="AX9"/>
  <c r="AW9"/>
  <c r="AV9"/>
  <c r="AU9"/>
  <c r="AT9"/>
  <c r="AS33"/>
  <c r="AR33"/>
  <c r="AS32"/>
  <c r="AR32"/>
  <c r="AS31"/>
  <c r="AR31"/>
  <c r="AS30"/>
  <c r="AR30"/>
  <c r="AS29"/>
  <c r="AR29"/>
  <c r="AS28"/>
  <c r="AR28"/>
  <c r="AQ28"/>
  <c r="AS27"/>
  <c r="AR27"/>
  <c r="AS26"/>
  <c r="AR26"/>
  <c r="AS25"/>
  <c r="AR25"/>
  <c r="AS24"/>
  <c r="AR24"/>
  <c r="AS23"/>
  <c r="AR23"/>
  <c r="AS22"/>
  <c r="AR22"/>
  <c r="AQ22"/>
  <c r="AS21"/>
  <c r="AR21"/>
  <c r="AS20"/>
  <c r="AR20"/>
  <c r="AS19"/>
  <c r="AR19"/>
  <c r="AS18"/>
  <c r="AR18"/>
  <c r="AS17"/>
  <c r="AR17"/>
  <c r="AS16"/>
  <c r="AR16"/>
  <c r="AS15"/>
  <c r="AR15"/>
  <c r="AR14" s="1"/>
  <c r="AS14"/>
  <c r="AS34" s="1"/>
  <c r="AS36" s="1"/>
  <c r="AQ14"/>
  <c r="AQ34" s="1"/>
  <c r="AP33"/>
  <c r="AP32"/>
  <c r="AP31"/>
  <c r="AP30"/>
  <c r="AP29"/>
  <c r="AP27"/>
  <c r="AP26"/>
  <c r="AP25"/>
  <c r="AP24"/>
  <c r="AP23"/>
  <c r="AP21"/>
  <c r="AP20"/>
  <c r="AP19"/>
  <c r="AP18"/>
  <c r="AP17"/>
  <c r="AP16"/>
  <c r="AP15"/>
  <c r="AY22" l="1"/>
  <c r="BE14"/>
  <c r="BE34" s="1"/>
  <c r="BE36" s="1"/>
  <c r="AY34"/>
  <c r="AY36" s="1"/>
  <c r="BF14"/>
  <c r="BF34" s="1"/>
  <c r="BF36" s="1"/>
  <c r="BI22"/>
  <c r="BI34" s="1"/>
  <c r="BI36" s="1"/>
  <c r="BD14"/>
  <c r="BB34"/>
  <c r="BB36" s="1"/>
  <c r="BA34"/>
  <c r="BA36" s="1"/>
  <c r="AZ34"/>
  <c r="AZ36" s="1"/>
  <c r="AW22"/>
  <c r="AW34" s="1"/>
  <c r="AW36" s="1"/>
  <c r="AV34"/>
  <c r="AV36" s="1"/>
  <c r="AU22"/>
  <c r="AU34" s="1"/>
  <c r="AU36" s="1"/>
  <c r="AT36"/>
  <c r="BD34"/>
  <c r="BD36" s="1"/>
  <c r="AR34"/>
  <c r="AR36" s="1"/>
  <c r="AP14"/>
  <c r="AP28"/>
  <c r="AQ36"/>
  <c r="AP22"/>
  <c r="AO33"/>
  <c r="AN33"/>
  <c r="AM33"/>
  <c r="AO32"/>
  <c r="AN32"/>
  <c r="AM32"/>
  <c r="AO31"/>
  <c r="AN31"/>
  <c r="AM31"/>
  <c r="AO30"/>
  <c r="AN30"/>
  <c r="AN28" s="1"/>
  <c r="AM30"/>
  <c r="AO29"/>
  <c r="AO28" s="1"/>
  <c r="AN29"/>
  <c r="AM29"/>
  <c r="AM28" s="1"/>
  <c r="AO27"/>
  <c r="AN27"/>
  <c r="AM27"/>
  <c r="AO26"/>
  <c r="AN26"/>
  <c r="AM26"/>
  <c r="AO25"/>
  <c r="AN25"/>
  <c r="AM25"/>
  <c r="AO24"/>
  <c r="AN24"/>
  <c r="AM24"/>
  <c r="AO23"/>
  <c r="AN23"/>
  <c r="AM23"/>
  <c r="AO21"/>
  <c r="AN21"/>
  <c r="AM21"/>
  <c r="AO20"/>
  <c r="AN20"/>
  <c r="AM20"/>
  <c r="AO19"/>
  <c r="AN19"/>
  <c r="AM19"/>
  <c r="AO18"/>
  <c r="AN18"/>
  <c r="AM18"/>
  <c r="AO17"/>
  <c r="AN17"/>
  <c r="AM17"/>
  <c r="AO16"/>
  <c r="AN16"/>
  <c r="AN14" s="1"/>
  <c r="AM16"/>
  <c r="AO15"/>
  <c r="AO14" s="1"/>
  <c r="AN15"/>
  <c r="AM15"/>
  <c r="AM14" s="1"/>
  <c r="AL33"/>
  <c r="AK33"/>
  <c r="AJ33"/>
  <c r="AL32"/>
  <c r="AK32"/>
  <c r="AJ32"/>
  <c r="AL31"/>
  <c r="AK31"/>
  <c r="AJ31"/>
  <c r="AL30"/>
  <c r="AK30"/>
  <c r="AJ30"/>
  <c r="AL29"/>
  <c r="AK29"/>
  <c r="AJ29"/>
  <c r="AL27"/>
  <c r="AK27"/>
  <c r="AJ27"/>
  <c r="AL26"/>
  <c r="AK26"/>
  <c r="AJ26"/>
  <c r="AL25"/>
  <c r="AK25"/>
  <c r="AJ25"/>
  <c r="AL24"/>
  <c r="AK24"/>
  <c r="AK22" s="1"/>
  <c r="AJ24"/>
  <c r="AL23"/>
  <c r="AL22" s="1"/>
  <c r="AK23"/>
  <c r="AJ23"/>
  <c r="AJ22" s="1"/>
  <c r="AL21"/>
  <c r="AK21"/>
  <c r="AJ21"/>
  <c r="AL20"/>
  <c r="AK20"/>
  <c r="AJ20"/>
  <c r="AL19"/>
  <c r="AK19"/>
  <c r="AJ19"/>
  <c r="AL18"/>
  <c r="AK18"/>
  <c r="AJ18"/>
  <c r="AL17"/>
  <c r="AK17"/>
  <c r="AJ17"/>
  <c r="AL16"/>
  <c r="AK16"/>
  <c r="AJ16"/>
  <c r="AL15"/>
  <c r="AK15"/>
  <c r="AJ15"/>
  <c r="AI33"/>
  <c r="AH33"/>
  <c r="AG33"/>
  <c r="AI32"/>
  <c r="AH32"/>
  <c r="AG32"/>
  <c r="AI31"/>
  <c r="AH31"/>
  <c r="AG31"/>
  <c r="AI30"/>
  <c r="AH30"/>
  <c r="AH28" s="1"/>
  <c r="AG30"/>
  <c r="AI29"/>
  <c r="AI28" s="1"/>
  <c r="AH29"/>
  <c r="AG29"/>
  <c r="AG28" s="1"/>
  <c r="AI27"/>
  <c r="AH27"/>
  <c r="AG27"/>
  <c r="AI26"/>
  <c r="AH26"/>
  <c r="AG26"/>
  <c r="AI25"/>
  <c r="AH25"/>
  <c r="AG25"/>
  <c r="AI24"/>
  <c r="AH24"/>
  <c r="AG24"/>
  <c r="AI23"/>
  <c r="AH23"/>
  <c r="AG23"/>
  <c r="AI21"/>
  <c r="AH21"/>
  <c r="AG21"/>
  <c r="AI20"/>
  <c r="AH20"/>
  <c r="AG20"/>
  <c r="AI19"/>
  <c r="AH19"/>
  <c r="AG19"/>
  <c r="AI18"/>
  <c r="AH18"/>
  <c r="AG18"/>
  <c r="AI17"/>
  <c r="AH17"/>
  <c r="AG17"/>
  <c r="AI16"/>
  <c r="AH16"/>
  <c r="AH14" s="1"/>
  <c r="AG16"/>
  <c r="AI15"/>
  <c r="AI14" s="1"/>
  <c r="AH15"/>
  <c r="AG15"/>
  <c r="AG14" s="1"/>
  <c r="AF33"/>
  <c r="AE33"/>
  <c r="AD33"/>
  <c r="AF32"/>
  <c r="AE32"/>
  <c r="AD32"/>
  <c r="AF31"/>
  <c r="AE31"/>
  <c r="AD31"/>
  <c r="AF30"/>
  <c r="AE30"/>
  <c r="AD30"/>
  <c r="AF29"/>
  <c r="AE29"/>
  <c r="AD29"/>
  <c r="AF27"/>
  <c r="AE27"/>
  <c r="AD27"/>
  <c r="AF26"/>
  <c r="AE26"/>
  <c r="AD26"/>
  <c r="AF25"/>
  <c r="AE25"/>
  <c r="AD25"/>
  <c r="AF24"/>
  <c r="AE24"/>
  <c r="AD24"/>
  <c r="AF23"/>
  <c r="AF22" s="1"/>
  <c r="AE23"/>
  <c r="AD23"/>
  <c r="AD22" s="1"/>
  <c r="AF21"/>
  <c r="AE21"/>
  <c r="AD21"/>
  <c r="AF20"/>
  <c r="AE20"/>
  <c r="AD20"/>
  <c r="AF19"/>
  <c r="AE19"/>
  <c r="AD19"/>
  <c r="AF18"/>
  <c r="AE18"/>
  <c r="AD18"/>
  <c r="AF17"/>
  <c r="AE17"/>
  <c r="AD17"/>
  <c r="AF16"/>
  <c r="AE16"/>
  <c r="AD16"/>
  <c r="AF15"/>
  <c r="AE15"/>
  <c r="AD15"/>
  <c r="AC33"/>
  <c r="AB33"/>
  <c r="Z33"/>
  <c r="AC32"/>
  <c r="AB32"/>
  <c r="Z32"/>
  <c r="AC31"/>
  <c r="AB31"/>
  <c r="Z31"/>
  <c r="AC30"/>
  <c r="AB30"/>
  <c r="AB28" s="1"/>
  <c r="Z30"/>
  <c r="AC29"/>
  <c r="AB29"/>
  <c r="Z29"/>
  <c r="AC27"/>
  <c r="AB27"/>
  <c r="Z27"/>
  <c r="AC26"/>
  <c r="AB26"/>
  <c r="Z26"/>
  <c r="AC25"/>
  <c r="AB25"/>
  <c r="Z25"/>
  <c r="AC24"/>
  <c r="AB24"/>
  <c r="Z24"/>
  <c r="AC23"/>
  <c r="AB23"/>
  <c r="Z23"/>
  <c r="AC21"/>
  <c r="AB21"/>
  <c r="Z21"/>
  <c r="AC20"/>
  <c r="AB20"/>
  <c r="Z20"/>
  <c r="AC19"/>
  <c r="AB19"/>
  <c r="Z19"/>
  <c r="AC18"/>
  <c r="AB18"/>
  <c r="Z18"/>
  <c r="AC17"/>
  <c r="AB17"/>
  <c r="Z17"/>
  <c r="AC16"/>
  <c r="AB16"/>
  <c r="AB14" s="1"/>
  <c r="Z16"/>
  <c r="AC15"/>
  <c r="AB15"/>
  <c r="Z15"/>
  <c r="Y33"/>
  <c r="X33"/>
  <c r="Y32"/>
  <c r="X32"/>
  <c r="Y31"/>
  <c r="X31"/>
  <c r="Y30"/>
  <c r="X30"/>
  <c r="Y29"/>
  <c r="X29"/>
  <c r="X28" s="1"/>
  <c r="Y28"/>
  <c r="Y27"/>
  <c r="X27"/>
  <c r="Y26"/>
  <c r="X26"/>
  <c r="Y25"/>
  <c r="X25"/>
  <c r="Y24"/>
  <c r="X24"/>
  <c r="Y23"/>
  <c r="Y22" s="1"/>
  <c r="X23"/>
  <c r="Y21"/>
  <c r="X21"/>
  <c r="Y20"/>
  <c r="X20"/>
  <c r="Y19"/>
  <c r="X19"/>
  <c r="Y18"/>
  <c r="X18"/>
  <c r="Y17"/>
  <c r="X17"/>
  <c r="Y16"/>
  <c r="X16"/>
  <c r="Y15"/>
  <c r="X15"/>
  <c r="X14" s="1"/>
  <c r="W33"/>
  <c r="V33"/>
  <c r="U33"/>
  <c r="W32"/>
  <c r="V32"/>
  <c r="U32"/>
  <c r="W31"/>
  <c r="V31"/>
  <c r="U31"/>
  <c r="W30"/>
  <c r="V30"/>
  <c r="V28" s="1"/>
  <c r="U30"/>
  <c r="W29"/>
  <c r="V29"/>
  <c r="U29"/>
  <c r="W27"/>
  <c r="V27"/>
  <c r="U27"/>
  <c r="W26"/>
  <c r="V26"/>
  <c r="U26"/>
  <c r="W25"/>
  <c r="V25"/>
  <c r="U25"/>
  <c r="W24"/>
  <c r="V24"/>
  <c r="V22" s="1"/>
  <c r="U24"/>
  <c r="W23"/>
  <c r="V23"/>
  <c r="U23"/>
  <c r="W21"/>
  <c r="V21"/>
  <c r="U21"/>
  <c r="W20"/>
  <c r="V20"/>
  <c r="U20"/>
  <c r="W19"/>
  <c r="V19"/>
  <c r="U19"/>
  <c r="W18"/>
  <c r="V18"/>
  <c r="U18"/>
  <c r="W17"/>
  <c r="V17"/>
  <c r="U17"/>
  <c r="W16"/>
  <c r="V16"/>
  <c r="V14" s="1"/>
  <c r="V34" s="1"/>
  <c r="V36" s="1"/>
  <c r="U16"/>
  <c r="W15"/>
  <c r="V15"/>
  <c r="U15"/>
  <c r="T33"/>
  <c r="S33"/>
  <c r="R33"/>
  <c r="T32"/>
  <c r="S32"/>
  <c r="R32"/>
  <c r="T31"/>
  <c r="S31"/>
  <c r="R31"/>
  <c r="T30"/>
  <c r="S30"/>
  <c r="S28" s="1"/>
  <c r="R30"/>
  <c r="T29"/>
  <c r="S29"/>
  <c r="R29"/>
  <c r="T27"/>
  <c r="S27"/>
  <c r="R27"/>
  <c r="T26"/>
  <c r="S26"/>
  <c r="R26"/>
  <c r="T25"/>
  <c r="S25"/>
  <c r="R25"/>
  <c r="T24"/>
  <c r="S24"/>
  <c r="S22" s="1"/>
  <c r="R24"/>
  <c r="T23"/>
  <c r="S23"/>
  <c r="R23"/>
  <c r="T21"/>
  <c r="S21"/>
  <c r="R21"/>
  <c r="T20"/>
  <c r="S20"/>
  <c r="R20"/>
  <c r="T19"/>
  <c r="S19"/>
  <c r="R19"/>
  <c r="T18"/>
  <c r="S18"/>
  <c r="R18"/>
  <c r="T17"/>
  <c r="S17"/>
  <c r="R17"/>
  <c r="T16"/>
  <c r="S16"/>
  <c r="S14" s="1"/>
  <c r="R16"/>
  <c r="T15"/>
  <c r="S15"/>
  <c r="R15"/>
  <c r="Q33"/>
  <c r="P33"/>
  <c r="O33"/>
  <c r="Q32"/>
  <c r="P32"/>
  <c r="O32"/>
  <c r="Q31"/>
  <c r="P31"/>
  <c r="O31"/>
  <c r="Q30"/>
  <c r="P30"/>
  <c r="O30"/>
  <c r="O28" s="1"/>
  <c r="Q29"/>
  <c r="P29"/>
  <c r="P28" s="1"/>
  <c r="O29"/>
  <c r="Q28"/>
  <c r="Q27"/>
  <c r="P27"/>
  <c r="O27"/>
  <c r="Q26"/>
  <c r="P26"/>
  <c r="O26"/>
  <c r="Q25"/>
  <c r="P25"/>
  <c r="O25"/>
  <c r="Q24"/>
  <c r="P24"/>
  <c r="O24"/>
  <c r="Q23"/>
  <c r="P23"/>
  <c r="O23"/>
  <c r="Q21"/>
  <c r="P21"/>
  <c r="O21"/>
  <c r="Q20"/>
  <c r="P20"/>
  <c r="O20"/>
  <c r="Q19"/>
  <c r="P19"/>
  <c r="O19"/>
  <c r="Q18"/>
  <c r="P18"/>
  <c r="O18"/>
  <c r="Q17"/>
  <c r="P17"/>
  <c r="O17"/>
  <c r="Q16"/>
  <c r="P16"/>
  <c r="O16"/>
  <c r="Q15"/>
  <c r="P15"/>
  <c r="O15"/>
  <c r="O14" s="1"/>
  <c r="S34" l="1"/>
  <c r="S36" s="1"/>
  <c r="AB22"/>
  <c r="AB34" s="1"/>
  <c r="AB36" s="1"/>
  <c r="Q22"/>
  <c r="AF14"/>
  <c r="AF34" s="1"/>
  <c r="AF36" s="1"/>
  <c r="AF28"/>
  <c r="AE28"/>
  <c r="AG22"/>
  <c r="AI22"/>
  <c r="AH22"/>
  <c r="AJ14"/>
  <c r="AL14"/>
  <c r="AK14"/>
  <c r="AK34" s="1"/>
  <c r="AK36" s="1"/>
  <c r="AJ28"/>
  <c r="AL28"/>
  <c r="AK28"/>
  <c r="AM22"/>
  <c r="AO22"/>
  <c r="AN22"/>
  <c r="AG34"/>
  <c r="AG36" s="1"/>
  <c r="AI34"/>
  <c r="AI36" s="1"/>
  <c r="AH34"/>
  <c r="AH36" s="1"/>
  <c r="AM34"/>
  <c r="AM36" s="1"/>
  <c r="AO34"/>
  <c r="AO36" s="1"/>
  <c r="AN34"/>
  <c r="AN36" s="1"/>
  <c r="Q14"/>
  <c r="Q34" s="1"/>
  <c r="Q36" s="1"/>
  <c r="O22"/>
  <c r="Y14"/>
  <c r="Y34" s="1"/>
  <c r="Y36" s="1"/>
  <c r="AE14"/>
  <c r="AD14"/>
  <c r="AP34"/>
  <c r="AP36" s="1"/>
  <c r="AD28"/>
  <c r="AD34" s="1"/>
  <c r="AD36" s="1"/>
  <c r="X22"/>
  <c r="X34" s="1"/>
  <c r="X36" s="1"/>
  <c r="P14"/>
  <c r="P22"/>
  <c r="O34"/>
  <c r="O36" s="1"/>
  <c r="P34"/>
  <c r="P36" s="1"/>
  <c r="R14"/>
  <c r="T14"/>
  <c r="R22"/>
  <c r="T22"/>
  <c r="R28"/>
  <c r="T28"/>
  <c r="U14"/>
  <c r="W14"/>
  <c r="U22"/>
  <c r="W22"/>
  <c r="U28"/>
  <c r="W28"/>
  <c r="Z14"/>
  <c r="AC14"/>
  <c r="Z22"/>
  <c r="AC22"/>
  <c r="Z28"/>
  <c r="AC28"/>
  <c r="AE22"/>
  <c r="AE34" s="1"/>
  <c r="AE36" s="1"/>
  <c r="AL34" l="1"/>
  <c r="AL36" s="1"/>
  <c r="AJ34"/>
  <c r="AJ36" s="1"/>
  <c r="Z34"/>
  <c r="Z36" s="1"/>
  <c r="U34"/>
  <c r="U36" s="1"/>
  <c r="R34"/>
  <c r="R36" s="1"/>
  <c r="AC34"/>
  <c r="AC36" s="1"/>
  <c r="W34"/>
  <c r="W36" s="1"/>
  <c r="T34"/>
  <c r="T36" s="1"/>
  <c r="M33" l="1"/>
  <c r="M32"/>
  <c r="M31"/>
  <c r="M30"/>
  <c r="M29"/>
  <c r="M28" s="1"/>
  <c r="M27"/>
  <c r="M26"/>
  <c r="M25"/>
  <c r="M24"/>
  <c r="M23"/>
  <c r="M22" s="1"/>
  <c r="M21"/>
  <c r="M20"/>
  <c r="M19"/>
  <c r="M18"/>
  <c r="M17"/>
  <c r="M16"/>
  <c r="M15"/>
  <c r="M14" s="1"/>
  <c r="M34" s="1"/>
  <c r="M36" s="1"/>
  <c r="L33"/>
  <c r="K33"/>
  <c r="J33"/>
  <c r="I33"/>
  <c r="L32"/>
  <c r="K32"/>
  <c r="J32"/>
  <c r="I32"/>
  <c r="L31"/>
  <c r="K31"/>
  <c r="J31"/>
  <c r="I31"/>
  <c r="H31"/>
  <c r="L30"/>
  <c r="K30"/>
  <c r="J30"/>
  <c r="I30"/>
  <c r="L29"/>
  <c r="K29"/>
  <c r="K28" s="1"/>
  <c r="J29"/>
  <c r="I29"/>
  <c r="I28" s="1"/>
  <c r="H29"/>
  <c r="L28"/>
  <c r="J28"/>
  <c r="H28"/>
  <c r="L27"/>
  <c r="K27"/>
  <c r="J27"/>
  <c r="I27"/>
  <c r="H27"/>
  <c r="L26"/>
  <c r="K26"/>
  <c r="J26"/>
  <c r="I26"/>
  <c r="L25"/>
  <c r="K25"/>
  <c r="J25"/>
  <c r="I25"/>
  <c r="L24"/>
  <c r="K24"/>
  <c r="J24"/>
  <c r="I24"/>
  <c r="L23"/>
  <c r="K23"/>
  <c r="J23"/>
  <c r="J22" s="1"/>
  <c r="I23"/>
  <c r="L22"/>
  <c r="H22"/>
  <c r="L21"/>
  <c r="K21"/>
  <c r="J21"/>
  <c r="I21"/>
  <c r="L20"/>
  <c r="K20"/>
  <c r="J20"/>
  <c r="I20"/>
  <c r="L19"/>
  <c r="K19"/>
  <c r="J19"/>
  <c r="I19"/>
  <c r="L18"/>
  <c r="K18"/>
  <c r="J18"/>
  <c r="I18"/>
  <c r="L17"/>
  <c r="K17"/>
  <c r="J17"/>
  <c r="I17"/>
  <c r="L16"/>
  <c r="K16"/>
  <c r="J16"/>
  <c r="I16"/>
  <c r="L15"/>
  <c r="K15"/>
  <c r="J15"/>
  <c r="I15"/>
  <c r="L14"/>
  <c r="L34" s="1"/>
  <c r="L36" s="1"/>
  <c r="K14"/>
  <c r="J14"/>
  <c r="I14"/>
  <c r="H14"/>
  <c r="H36" s="1"/>
  <c r="H9"/>
  <c r="K22" l="1"/>
  <c r="K34" s="1"/>
  <c r="K36" s="1"/>
  <c r="J34"/>
  <c r="J36" s="1"/>
  <c r="I22"/>
  <c r="I34" s="1"/>
  <c r="I36" l="1"/>
  <c r="BJ34"/>
  <c r="BK34" s="1"/>
</calcChain>
</file>

<file path=xl/sharedStrings.xml><?xml version="1.0" encoding="utf-8"?>
<sst xmlns="http://schemas.openxmlformats.org/spreadsheetml/2006/main" count="170" uniqueCount="120">
  <si>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</si>
  <si>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</si>
  <si>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</si>
  <si>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</si>
  <si>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</si>
  <si>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</si>
  <si>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</si>
  <si>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</si>
  <si>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</si>
  <si>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</si>
  <si>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</si>
  <si>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</si>
  <si>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</si>
  <si>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</si>
  <si>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</si>
  <si>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</si>
  <si>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</si>
  <si>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</si>
  <si>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</si>
  <si>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</si>
  <si>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</si>
  <si>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</si>
  <si>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</si>
  <si>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</si>
  <si>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</si>
  <si>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</si>
  <si>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</si>
  <si>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</si>
  <si>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</si>
  <si>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</si>
  <si>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</si>
  <si>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</si>
  <si>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</si>
  <si>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</si>
  <si>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</si>
  <si>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</si>
  <si>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</si>
  <si>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</si>
  <si>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</si>
  <si>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</si>
  <si>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</si>
  <si>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</si>
  <si>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</si>
  <si>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</si>
  <si>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</si>
  <si>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</si>
  <si>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</si>
  <si>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</si>
  <si>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</si>
  <si>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</si>
  <si>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</si>
  <si>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</si>
  <si>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Жилой район Соломбальский тер. округ</t>
  </si>
  <si>
    <t>Лот №2</t>
  </si>
  <si>
    <t>деревянный не благоустроенный с центр отопленим без канализ</t>
  </si>
  <si>
    <t>3</t>
  </si>
  <si>
    <t>А.Петрова ул.</t>
  </si>
  <si>
    <t>8</t>
  </si>
  <si>
    <t>Гвардейская, ул.</t>
  </si>
  <si>
    <t>6</t>
  </si>
  <si>
    <t>Маслова ул.</t>
  </si>
  <si>
    <t>23, к.1</t>
  </si>
  <si>
    <t>Корабельная ул.</t>
  </si>
  <si>
    <t>14</t>
  </si>
  <si>
    <t>1</t>
  </si>
  <si>
    <t>624,5</t>
  </si>
  <si>
    <t>640</t>
  </si>
  <si>
    <t>308,7</t>
  </si>
  <si>
    <t>56,1</t>
  </si>
  <si>
    <t>582,4</t>
  </si>
  <si>
    <t>1 к1</t>
  </si>
  <si>
    <t>1 к4</t>
  </si>
  <si>
    <t>5 к1</t>
  </si>
  <si>
    <t>5 к2</t>
  </si>
  <si>
    <t>7 к1</t>
  </si>
  <si>
    <t>Физкультурников  ул.</t>
  </si>
  <si>
    <t>Баумана  ул.</t>
  </si>
  <si>
    <t>36 к1</t>
  </si>
  <si>
    <t>12 к2</t>
  </si>
  <si>
    <t>12 к3</t>
  </si>
  <si>
    <t>Трамвайная ул.</t>
  </si>
  <si>
    <t>Кучина А.С. ул.</t>
  </si>
  <si>
    <t>деревянный не благоустроенный с центр отопленим без канализ с водой</t>
  </si>
  <si>
    <t>19</t>
  </si>
  <si>
    <t>28 к1</t>
  </si>
  <si>
    <t>542,1</t>
  </si>
  <si>
    <t>537,1</t>
  </si>
  <si>
    <t>деревянный благоустроенный дом с центр отоплением</t>
  </si>
  <si>
    <t>5</t>
  </si>
  <si>
    <t>20</t>
  </si>
  <si>
    <t>30 к1</t>
  </si>
  <si>
    <t>11</t>
  </si>
  <si>
    <t>20 к1</t>
  </si>
  <si>
    <t>10</t>
  </si>
  <si>
    <t>2 к1</t>
  </si>
  <si>
    <t>9</t>
  </si>
  <si>
    <t>13</t>
  </si>
  <si>
    <t>Маймаксанская ул.</t>
  </si>
  <si>
    <t>106</t>
  </si>
  <si>
    <t>108</t>
  </si>
  <si>
    <t>108 к2</t>
  </si>
  <si>
    <t>Восьмое марта ул.</t>
  </si>
  <si>
    <t>614,6</t>
  </si>
  <si>
    <t>413,9</t>
  </si>
  <si>
    <t>766,4</t>
  </si>
  <si>
    <t>464,8</t>
  </si>
  <si>
    <t>511,5</t>
  </si>
  <si>
    <t>514,9</t>
  </si>
  <si>
    <t>411,5</t>
  </si>
  <si>
    <t>406,1</t>
  </si>
  <si>
    <t>413,5</t>
  </si>
  <si>
    <t>411,7</t>
  </si>
  <si>
    <t>1110,2</t>
  </si>
  <si>
    <t>1116,7</t>
  </si>
  <si>
    <t>715,3</t>
  </si>
  <si>
    <t>514</t>
  </si>
  <si>
    <t>741,3</t>
  </si>
  <si>
    <t>42 к.1</t>
  </si>
  <si>
    <t>Приложение № 2</t>
  </si>
  <si>
    <t>к конкурсной документации</t>
  </si>
</sst>
</file>

<file path=xl/styles.xml><?xml version="1.0" encoding="utf-8"?>
<styleSheet xmlns="http://schemas.openxmlformats.org/spreadsheetml/2006/main">
  <fonts count="19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9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5" xfId="0" applyNumberFormat="1" applyFont="1" applyFill="1" applyBorder="1" applyAlignment="1">
      <alignment horizontal="center"/>
    </xf>
    <xf numFmtId="4" fontId="10" fillId="2" borderId="12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11" fillId="0" borderId="0" xfId="0" applyNumberFormat="1" applyFont="1" applyAlignment="1"/>
    <xf numFmtId="0" fontId="6" fillId="0" borderId="0" xfId="0" applyFont="1" applyAlignment="1">
      <alignment horizontal="right"/>
    </xf>
    <xf numFmtId="4" fontId="2" fillId="0" borderId="0" xfId="0" applyNumberFormat="1" applyFont="1" applyAlignment="1"/>
    <xf numFmtId="4" fontId="8" fillId="2" borderId="0" xfId="0" applyNumberFormat="1" applyFont="1" applyFill="1" applyBorder="1" applyAlignment="1">
      <alignment horizontal="center" vertical="center"/>
    </xf>
    <xf numFmtId="49" fontId="13" fillId="2" borderId="15" xfId="0" applyNumberFormat="1" applyFont="1" applyFill="1" applyBorder="1" applyAlignment="1">
      <alignment horizontal="left" wrapText="1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5" xfId="0" applyNumberFormat="1" applyFont="1" applyFill="1" applyBorder="1" applyAlignment="1">
      <alignment horizontal="center" vertical="top"/>
    </xf>
    <xf numFmtId="4" fontId="14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 vertical="top"/>
    </xf>
    <xf numFmtId="4" fontId="14" fillId="2" borderId="1" xfId="0" applyNumberFormat="1" applyFont="1" applyFill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wrapText="1"/>
    </xf>
    <xf numFmtId="4" fontId="14" fillId="2" borderId="12" xfId="0" applyNumberFormat="1" applyFont="1" applyFill="1" applyBorder="1" applyAlignment="1">
      <alignment horizontal="left" vertical="top"/>
    </xf>
    <xf numFmtId="4" fontId="14" fillId="2" borderId="13" xfId="0" applyNumberFormat="1" applyFont="1" applyFill="1" applyBorder="1" applyAlignment="1">
      <alignment horizontal="left" vertical="top"/>
    </xf>
    <xf numFmtId="4" fontId="15" fillId="2" borderId="5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Alignment="1">
      <alignment horizontal="right"/>
    </xf>
    <xf numFmtId="4" fontId="14" fillId="2" borderId="5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center"/>
    </xf>
    <xf numFmtId="4" fontId="14" fillId="2" borderId="12" xfId="0" applyNumberFormat="1" applyFont="1" applyFill="1" applyBorder="1" applyAlignment="1">
      <alignment horizontal="center"/>
    </xf>
    <xf numFmtId="4" fontId="15" fillId="0" borderId="5" xfId="0" applyNumberFormat="1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center" vertical="top"/>
    </xf>
    <xf numFmtId="4" fontId="15" fillId="0" borderId="12" xfId="0" applyNumberFormat="1" applyFont="1" applyFill="1" applyBorder="1" applyAlignment="1">
      <alignment horizontal="center" vertical="top"/>
    </xf>
    <xf numFmtId="4" fontId="15" fillId="0" borderId="15" xfId="0" applyNumberFormat="1" applyFont="1" applyFill="1" applyBorder="1" applyAlignment="1">
      <alignment horizontal="left" vertical="top"/>
    </xf>
    <xf numFmtId="4" fontId="15" fillId="0" borderId="5" xfId="0" applyNumberFormat="1" applyFont="1" applyFill="1" applyBorder="1" applyAlignment="1">
      <alignment horizontal="center" vertical="center"/>
    </xf>
    <xf numFmtId="49" fontId="13" fillId="2" borderId="16" xfId="0" applyNumberFormat="1" applyFont="1" applyFill="1" applyBorder="1" applyAlignment="1">
      <alignment horizontal="left" wrapText="1"/>
    </xf>
    <xf numFmtId="0" fontId="16" fillId="0" borderId="16" xfId="0" applyFont="1" applyBorder="1" applyAlignment="1">
      <alignment horizontal="center" wrapText="1"/>
    </xf>
    <xf numFmtId="4" fontId="14" fillId="2" borderId="16" xfId="0" applyNumberFormat="1" applyFont="1" applyFill="1" applyBorder="1" applyAlignment="1">
      <alignment horizontal="center" vertical="center"/>
    </xf>
    <xf numFmtId="0" fontId="17" fillId="0" borderId="16" xfId="0" applyNumberFormat="1" applyFont="1" applyBorder="1" applyAlignment="1">
      <alignment horizontal="center" vertical="center" wrapText="1"/>
    </xf>
    <xf numFmtId="49" fontId="18" fillId="2" borderId="16" xfId="0" applyNumberFormat="1" applyFont="1" applyFill="1" applyBorder="1" applyAlignment="1">
      <alignment horizontal="left" wrapText="1"/>
    </xf>
    <xf numFmtId="4" fontId="15" fillId="2" borderId="5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 vertical="top"/>
    </xf>
    <xf numFmtId="4" fontId="14" fillId="2" borderId="12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left" vertical="top"/>
    </xf>
    <xf numFmtId="49" fontId="18" fillId="2" borderId="18" xfId="0" applyNumberFormat="1" applyFont="1" applyFill="1" applyBorder="1" applyAlignment="1">
      <alignment horizontal="center" vertical="center" wrapText="1"/>
    </xf>
    <xf numFmtId="4" fontId="15" fillId="2" borderId="19" xfId="0" applyNumberFormat="1" applyFont="1" applyFill="1" applyBorder="1" applyAlignment="1">
      <alignment horizontal="center" vertical="center"/>
    </xf>
    <xf numFmtId="4" fontId="10" fillId="2" borderId="19" xfId="0" applyNumberFormat="1" applyFont="1" applyFill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left" wrapText="1"/>
    </xf>
    <xf numFmtId="49" fontId="13" fillId="2" borderId="22" xfId="0" applyNumberFormat="1" applyFont="1" applyFill="1" applyBorder="1" applyAlignment="1">
      <alignment horizontal="left" wrapText="1"/>
    </xf>
    <xf numFmtId="4" fontId="8" fillId="2" borderId="16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 vertical="center"/>
    </xf>
    <xf numFmtId="4" fontId="8" fillId="2" borderId="24" xfId="0" applyNumberFormat="1" applyFont="1" applyFill="1" applyBorder="1" applyAlignment="1">
      <alignment horizontal="center" vertical="center"/>
    </xf>
    <xf numFmtId="4" fontId="8" fillId="2" borderId="25" xfId="0" applyNumberFormat="1" applyFont="1" applyFill="1" applyBorder="1" applyAlignment="1">
      <alignment horizontal="center" vertical="center"/>
    </xf>
    <xf numFmtId="4" fontId="14" fillId="2" borderId="21" xfId="0" applyNumberFormat="1" applyFont="1" applyFill="1" applyBorder="1" applyAlignment="1">
      <alignment horizontal="center" vertical="center" wrapText="1"/>
    </xf>
    <xf numFmtId="4" fontId="14" fillId="2" borderId="17" xfId="0" applyNumberFormat="1" applyFont="1" applyFill="1" applyBorder="1" applyAlignment="1">
      <alignment horizontal="center" vertical="center" wrapText="1"/>
    </xf>
    <xf numFmtId="4" fontId="15" fillId="2" borderId="22" xfId="0" applyNumberFormat="1" applyFont="1" applyFill="1" applyBorder="1" applyAlignment="1">
      <alignment horizontal="center" vertical="center" wrapText="1"/>
    </xf>
    <xf numFmtId="4" fontId="15" fillId="2" borderId="16" xfId="0" applyNumberFormat="1" applyFont="1" applyFill="1" applyBorder="1" applyAlignment="1">
      <alignment horizontal="center" vertical="center" wrapText="1"/>
    </xf>
    <xf numFmtId="4" fontId="14" fillId="2" borderId="22" xfId="0" applyNumberFormat="1" applyFont="1" applyFill="1" applyBorder="1" applyAlignment="1">
      <alignment horizontal="center" vertical="center" wrapText="1"/>
    </xf>
    <xf numFmtId="4" fontId="14" fillId="2" borderId="16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4" fontId="15" fillId="2" borderId="20" xfId="0" applyNumberFormat="1" applyFont="1" applyFill="1" applyBorder="1" applyAlignment="1">
      <alignment horizontal="center" vertical="center" wrapText="1"/>
    </xf>
    <xf numFmtId="4" fontId="15" fillId="2" borderId="15" xfId="0" applyNumberFormat="1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/>
    </xf>
    <xf numFmtId="4" fontId="15" fillId="2" borderId="14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top"/>
    </xf>
    <xf numFmtId="4" fontId="8" fillId="2" borderId="10" xfId="0" applyNumberFormat="1" applyFont="1" applyFill="1" applyBorder="1" applyAlignment="1">
      <alignment horizontal="center" vertical="top"/>
    </xf>
    <xf numFmtId="4" fontId="8" fillId="2" borderId="11" xfId="0" applyNumberFormat="1" applyFont="1" applyFill="1" applyBorder="1" applyAlignment="1">
      <alignment horizontal="center" vertical="top"/>
    </xf>
    <xf numFmtId="4" fontId="8" fillId="2" borderId="9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8" fillId="2" borderId="13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6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left" vertical="top"/>
    </xf>
    <xf numFmtId="4" fontId="8" fillId="2" borderId="8" xfId="0" applyNumberFormat="1" applyFont="1" applyFill="1" applyBorder="1" applyAlignment="1">
      <alignment horizontal="left" vertical="top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6" fillId="2" borderId="0" xfId="0" applyNumberFormat="1" applyFont="1" applyFill="1" applyAlignment="1">
      <alignment horizont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6"/>
  <sheetViews>
    <sheetView tabSelected="1" view="pageBreakPreview" zoomScale="91" zoomScaleNormal="100" zoomScaleSheetLayoutView="91" workbookViewId="0">
      <selection activeCell="O3" sqref="O3"/>
    </sheetView>
  </sheetViews>
  <sheetFormatPr defaultRowHeight="12.75"/>
  <cols>
    <col min="1" max="1" width="9.140625" style="6" customWidth="1"/>
    <col min="2" max="5" width="9.140625" style="6"/>
    <col min="6" max="6" width="20.7109375" style="6" customWidth="1"/>
    <col min="7" max="7" width="17.28515625" style="23" customWidth="1"/>
    <col min="8" max="8" width="14.28515625" style="33" customWidth="1"/>
    <col min="9" max="42" width="9.28515625" style="7" customWidth="1"/>
    <col min="43" max="43" width="14" style="7" customWidth="1"/>
    <col min="44" max="45" width="9.28515625" style="7" customWidth="1"/>
    <col min="46" max="46" width="11.5703125" style="7" customWidth="1"/>
    <col min="47" max="58" width="9.28515625" style="7" customWidth="1"/>
    <col min="59" max="59" width="10.5703125" style="7" customWidth="1"/>
    <col min="60" max="60" width="11.28515625" customWidth="1"/>
    <col min="61" max="61" width="13.28515625" customWidth="1"/>
    <col min="62" max="62" width="13.5703125" customWidth="1"/>
  </cols>
  <sheetData>
    <row r="1" spans="1:72" s="1" customFormat="1" ht="16.5" customHeight="1">
      <c r="A1" s="69" t="s">
        <v>25</v>
      </c>
      <c r="B1" s="69"/>
      <c r="C1" s="69"/>
      <c r="D1" s="69"/>
      <c r="E1" s="69"/>
      <c r="F1" s="69"/>
      <c r="G1" s="69"/>
      <c r="H1" s="3"/>
      <c r="I1" s="16"/>
      <c r="J1" s="17" t="s">
        <v>118</v>
      </c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</row>
    <row r="2" spans="1:72" s="1" customFormat="1" ht="16.5" customHeight="1">
      <c r="A2" s="69" t="s">
        <v>24</v>
      </c>
      <c r="B2" s="69"/>
      <c r="C2" s="69"/>
      <c r="D2" s="69"/>
      <c r="E2" s="69"/>
      <c r="F2" s="69"/>
      <c r="G2" s="69"/>
      <c r="H2" s="95" t="s">
        <v>119</v>
      </c>
      <c r="I2" s="95"/>
      <c r="J2" s="95"/>
      <c r="K2" s="95"/>
      <c r="L2" s="95"/>
      <c r="M2" s="9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72" s="1" customFormat="1" ht="16.5" customHeight="1">
      <c r="A3" s="69" t="s">
        <v>23</v>
      </c>
      <c r="B3" s="69"/>
      <c r="C3" s="69"/>
      <c r="D3" s="69"/>
      <c r="E3" s="69"/>
      <c r="F3" s="69"/>
      <c r="G3" s="69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72" s="1" customFormat="1" ht="16.5" customHeight="1">
      <c r="A4" s="69" t="s">
        <v>22</v>
      </c>
      <c r="B4" s="69"/>
      <c r="C4" s="69"/>
      <c r="D4" s="69"/>
      <c r="E4" s="69"/>
      <c r="F4" s="69"/>
      <c r="G4" s="69"/>
      <c r="H4" s="33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</row>
    <row r="5" spans="1:72" s="1" customFormat="1">
      <c r="A5" s="5" t="s">
        <v>53</v>
      </c>
      <c r="B5" s="5" t="s">
        <v>52</v>
      </c>
      <c r="C5" s="6"/>
      <c r="D5" s="6"/>
      <c r="E5" s="6"/>
      <c r="F5" s="6"/>
      <c r="G5" s="23"/>
      <c r="H5" s="33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</row>
    <row r="6" spans="1:72" s="1" customFormat="1" ht="15.75" customHeight="1">
      <c r="A6" s="72" t="s">
        <v>21</v>
      </c>
      <c r="B6" s="72"/>
      <c r="C6" s="72"/>
      <c r="D6" s="72"/>
      <c r="E6" s="72"/>
      <c r="F6" s="72"/>
      <c r="G6" s="60" t="s">
        <v>20</v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2"/>
      <c r="S6" s="59"/>
      <c r="T6" s="59"/>
      <c r="U6" s="59"/>
      <c r="V6" s="59"/>
      <c r="W6" s="59"/>
      <c r="X6" s="59"/>
      <c r="Y6" s="59"/>
      <c r="Z6" s="59"/>
      <c r="AA6" s="59"/>
      <c r="AB6" s="59"/>
      <c r="AC6" s="60" t="s">
        <v>20</v>
      </c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2"/>
      <c r="AX6" s="60" t="s">
        <v>20</v>
      </c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2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</row>
    <row r="7" spans="1:72" s="8" customFormat="1" ht="56.25" customHeight="1">
      <c r="A7" s="72"/>
      <c r="B7" s="72"/>
      <c r="C7" s="72"/>
      <c r="D7" s="72"/>
      <c r="E7" s="72"/>
      <c r="F7" s="72"/>
      <c r="G7" s="70" t="s">
        <v>19</v>
      </c>
      <c r="H7" s="70" t="s">
        <v>54</v>
      </c>
      <c r="I7" s="57" t="s">
        <v>56</v>
      </c>
      <c r="J7" s="57" t="s">
        <v>58</v>
      </c>
      <c r="K7" s="57" t="s">
        <v>60</v>
      </c>
      <c r="L7" s="57" t="s">
        <v>62</v>
      </c>
      <c r="M7" s="57" t="s">
        <v>60</v>
      </c>
      <c r="N7" s="63" t="s">
        <v>46</v>
      </c>
      <c r="O7" s="58" t="s">
        <v>56</v>
      </c>
      <c r="P7" s="58" t="s">
        <v>58</v>
      </c>
      <c r="Q7" s="58" t="s">
        <v>58</v>
      </c>
      <c r="R7" s="58" t="s">
        <v>58</v>
      </c>
      <c r="S7" s="58" t="s">
        <v>58</v>
      </c>
      <c r="T7" s="58" t="s">
        <v>58</v>
      </c>
      <c r="U7" s="58" t="s">
        <v>58</v>
      </c>
      <c r="V7" s="58" t="s">
        <v>58</v>
      </c>
      <c r="W7" s="58" t="s">
        <v>58</v>
      </c>
      <c r="X7" s="58" t="s">
        <v>75</v>
      </c>
      <c r="Y7" s="58" t="s">
        <v>75</v>
      </c>
      <c r="Z7" s="58" t="s">
        <v>75</v>
      </c>
      <c r="AA7" s="58" t="s">
        <v>75</v>
      </c>
      <c r="AB7" s="58" t="s">
        <v>75</v>
      </c>
      <c r="AC7" s="58" t="s">
        <v>76</v>
      </c>
      <c r="AD7" s="58" t="s">
        <v>76</v>
      </c>
      <c r="AE7" s="58" t="s">
        <v>76</v>
      </c>
      <c r="AF7" s="58" t="s">
        <v>76</v>
      </c>
      <c r="AG7" s="58" t="s">
        <v>76</v>
      </c>
      <c r="AH7" s="58" t="s">
        <v>62</v>
      </c>
      <c r="AI7" s="58" t="s">
        <v>80</v>
      </c>
      <c r="AJ7" s="58" t="s">
        <v>80</v>
      </c>
      <c r="AK7" s="58" t="s">
        <v>80</v>
      </c>
      <c r="AL7" s="58" t="s">
        <v>80</v>
      </c>
      <c r="AM7" s="58" t="s">
        <v>81</v>
      </c>
      <c r="AN7" s="58" t="s">
        <v>60</v>
      </c>
      <c r="AO7" s="58" t="s">
        <v>60</v>
      </c>
      <c r="AP7" s="58" t="s">
        <v>80</v>
      </c>
      <c r="AQ7" s="65" t="s">
        <v>82</v>
      </c>
      <c r="AR7" s="58" t="s">
        <v>60</v>
      </c>
      <c r="AS7" s="58" t="s">
        <v>75</v>
      </c>
      <c r="AT7" s="67" t="s">
        <v>87</v>
      </c>
      <c r="AU7" s="58" t="s">
        <v>75</v>
      </c>
      <c r="AV7" s="58" t="s">
        <v>62</v>
      </c>
      <c r="AW7" s="58" t="s">
        <v>62</v>
      </c>
      <c r="AX7" s="58" t="s">
        <v>81</v>
      </c>
      <c r="AY7" s="58" t="s">
        <v>76</v>
      </c>
      <c r="AZ7" s="58" t="s">
        <v>62</v>
      </c>
      <c r="BA7" s="58" t="s">
        <v>62</v>
      </c>
      <c r="BB7" s="58" t="s">
        <v>62</v>
      </c>
      <c r="BC7" s="58" t="s">
        <v>62</v>
      </c>
      <c r="BD7" s="58" t="s">
        <v>62</v>
      </c>
      <c r="BE7" s="58" t="s">
        <v>62</v>
      </c>
      <c r="BF7" s="58" t="s">
        <v>97</v>
      </c>
      <c r="BG7" s="58" t="s">
        <v>97</v>
      </c>
      <c r="BH7" s="58" t="s">
        <v>97</v>
      </c>
      <c r="BI7" s="58" t="s">
        <v>101</v>
      </c>
    </row>
    <row r="8" spans="1:72" s="8" customFormat="1" ht="22.5" customHeight="1">
      <c r="A8" s="72"/>
      <c r="B8" s="72"/>
      <c r="C8" s="72"/>
      <c r="D8" s="72"/>
      <c r="E8" s="72"/>
      <c r="F8" s="72"/>
      <c r="G8" s="73"/>
      <c r="H8" s="71"/>
      <c r="I8" s="20" t="s">
        <v>57</v>
      </c>
      <c r="J8" s="20" t="s">
        <v>59</v>
      </c>
      <c r="K8" s="20" t="s">
        <v>61</v>
      </c>
      <c r="L8" s="20" t="s">
        <v>63</v>
      </c>
      <c r="M8" s="20" t="s">
        <v>64</v>
      </c>
      <c r="N8" s="64"/>
      <c r="O8" s="45">
        <v>10</v>
      </c>
      <c r="P8" s="45" t="s">
        <v>70</v>
      </c>
      <c r="Q8" s="45" t="s">
        <v>71</v>
      </c>
      <c r="R8" s="45" t="s">
        <v>72</v>
      </c>
      <c r="S8" s="45" t="s">
        <v>73</v>
      </c>
      <c r="T8" s="45" t="s">
        <v>74</v>
      </c>
      <c r="U8" s="45">
        <v>10</v>
      </c>
      <c r="V8" s="45">
        <v>11</v>
      </c>
      <c r="W8" s="45">
        <v>15</v>
      </c>
      <c r="X8" s="45">
        <v>27</v>
      </c>
      <c r="Y8" s="45" t="s">
        <v>77</v>
      </c>
      <c r="Z8" s="45">
        <v>38</v>
      </c>
      <c r="AA8" s="45" t="s">
        <v>117</v>
      </c>
      <c r="AB8" s="45">
        <v>46</v>
      </c>
      <c r="AC8" s="45" t="s">
        <v>78</v>
      </c>
      <c r="AD8" s="45" t="s">
        <v>79</v>
      </c>
      <c r="AE8" s="45">
        <v>16</v>
      </c>
      <c r="AF8" s="45">
        <v>29</v>
      </c>
      <c r="AG8" s="45">
        <v>31</v>
      </c>
      <c r="AH8" s="45">
        <v>4</v>
      </c>
      <c r="AI8" s="45">
        <v>1</v>
      </c>
      <c r="AJ8" s="45">
        <v>4</v>
      </c>
      <c r="AK8" s="45">
        <v>5</v>
      </c>
      <c r="AL8" s="45">
        <v>6</v>
      </c>
      <c r="AM8" s="45">
        <v>6</v>
      </c>
      <c r="AN8" s="45">
        <v>16</v>
      </c>
      <c r="AO8" s="45">
        <v>28</v>
      </c>
      <c r="AP8" s="45">
        <v>7</v>
      </c>
      <c r="AQ8" s="66"/>
      <c r="AR8" s="48" t="s">
        <v>83</v>
      </c>
      <c r="AS8" s="48" t="s">
        <v>84</v>
      </c>
      <c r="AT8" s="68"/>
      <c r="AU8" s="44" t="s">
        <v>90</v>
      </c>
      <c r="AV8" s="44" t="s">
        <v>91</v>
      </c>
      <c r="AW8" s="44" t="s">
        <v>92</v>
      </c>
      <c r="AX8" s="44" t="s">
        <v>57</v>
      </c>
      <c r="AY8" s="44" t="s">
        <v>93</v>
      </c>
      <c r="AZ8" s="44" t="s">
        <v>94</v>
      </c>
      <c r="BA8" s="44" t="s">
        <v>55</v>
      </c>
      <c r="BB8" s="44" t="s">
        <v>88</v>
      </c>
      <c r="BC8" s="44" t="s">
        <v>95</v>
      </c>
      <c r="BD8" s="44" t="s">
        <v>96</v>
      </c>
      <c r="BE8" s="44" t="s">
        <v>89</v>
      </c>
      <c r="BF8" s="44" t="s">
        <v>98</v>
      </c>
      <c r="BG8" s="44" t="s">
        <v>99</v>
      </c>
      <c r="BH8" s="44" t="s">
        <v>100</v>
      </c>
      <c r="BI8" s="44" t="s">
        <v>64</v>
      </c>
    </row>
    <row r="9" spans="1:72" s="1" customFormat="1">
      <c r="A9" s="74" t="s">
        <v>18</v>
      </c>
      <c r="B9" s="75"/>
      <c r="C9" s="75"/>
      <c r="D9" s="75"/>
      <c r="E9" s="75"/>
      <c r="F9" s="76"/>
      <c r="G9" s="24"/>
      <c r="H9" s="38">
        <f t="shared" ref="H9" si="0">SUM(H10:H13)</f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36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49">
        <v>0</v>
      </c>
      <c r="AR9" s="12">
        <v>0</v>
      </c>
      <c r="AS9" s="12">
        <v>0</v>
      </c>
      <c r="AT9" s="36">
        <f t="shared" ref="AT9" si="1">SUM(AT10:AT13)</f>
        <v>0</v>
      </c>
      <c r="AU9" s="12">
        <f t="shared" ref="AU9:AX9" si="2">SUM(AU10:AU13)</f>
        <v>0</v>
      </c>
      <c r="AV9" s="12">
        <f t="shared" si="2"/>
        <v>0</v>
      </c>
      <c r="AW9" s="12">
        <f t="shared" si="2"/>
        <v>0</v>
      </c>
      <c r="AX9" s="12">
        <f t="shared" si="2"/>
        <v>0</v>
      </c>
      <c r="AY9" s="12">
        <f t="shared" ref="AY9:BF9" si="3">SUM(AY10:AY13)</f>
        <v>0</v>
      </c>
      <c r="AZ9" s="12">
        <f t="shared" si="3"/>
        <v>0</v>
      </c>
      <c r="BA9" s="12">
        <f t="shared" si="3"/>
        <v>0</v>
      </c>
      <c r="BB9" s="12">
        <f t="shared" si="3"/>
        <v>0</v>
      </c>
      <c r="BC9" s="12">
        <f t="shared" si="3"/>
        <v>0</v>
      </c>
      <c r="BD9" s="12">
        <f t="shared" si="3"/>
        <v>0</v>
      </c>
      <c r="BE9" s="12">
        <f t="shared" si="3"/>
        <v>0</v>
      </c>
      <c r="BF9" s="12">
        <f t="shared" si="3"/>
        <v>0</v>
      </c>
      <c r="BG9" s="12">
        <f t="shared" ref="BG9:BH9" si="4">SUM(BG10:BG13)</f>
        <v>0</v>
      </c>
      <c r="BH9" s="12">
        <f t="shared" si="4"/>
        <v>0</v>
      </c>
      <c r="BI9" s="12">
        <f t="shared" ref="BI9" si="5">SUM(BI10:BI13)</f>
        <v>0</v>
      </c>
    </row>
    <row r="10" spans="1:72" s="1" customFormat="1">
      <c r="A10" s="84" t="s">
        <v>26</v>
      </c>
      <c r="B10" s="84"/>
      <c r="C10" s="84"/>
      <c r="D10" s="84"/>
      <c r="E10" s="84"/>
      <c r="F10" s="84"/>
      <c r="G10" s="25" t="s">
        <v>11</v>
      </c>
      <c r="H10" s="39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5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50">
        <v>0</v>
      </c>
      <c r="AR10" s="10">
        <v>0</v>
      </c>
      <c r="AS10" s="10">
        <v>0</v>
      </c>
      <c r="AT10" s="25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</row>
    <row r="11" spans="1:72" s="1" customFormat="1">
      <c r="A11" s="84" t="s">
        <v>27</v>
      </c>
      <c r="B11" s="84"/>
      <c r="C11" s="84"/>
      <c r="D11" s="84"/>
      <c r="E11" s="84"/>
      <c r="F11" s="84"/>
      <c r="G11" s="25" t="s">
        <v>11</v>
      </c>
      <c r="H11" s="39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25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50">
        <v>0</v>
      </c>
      <c r="AR11" s="10">
        <v>0</v>
      </c>
      <c r="AS11" s="10">
        <v>0</v>
      </c>
      <c r="AT11" s="25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</row>
    <row r="12" spans="1:72" s="1" customFormat="1">
      <c r="A12" s="84" t="s">
        <v>17</v>
      </c>
      <c r="B12" s="84"/>
      <c r="C12" s="84"/>
      <c r="D12" s="84"/>
      <c r="E12" s="84"/>
      <c r="F12" s="84"/>
      <c r="G12" s="25" t="s">
        <v>11</v>
      </c>
      <c r="H12" s="39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25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50">
        <v>0</v>
      </c>
      <c r="AR12" s="10">
        <v>0</v>
      </c>
      <c r="AS12" s="10">
        <v>0</v>
      </c>
      <c r="AT12" s="25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</row>
    <row r="13" spans="1:72" s="1" customFormat="1">
      <c r="A13" s="84" t="s">
        <v>16</v>
      </c>
      <c r="B13" s="84"/>
      <c r="C13" s="84"/>
      <c r="D13" s="84"/>
      <c r="E13" s="84"/>
      <c r="F13" s="84"/>
      <c r="G13" s="25" t="s">
        <v>15</v>
      </c>
      <c r="H13" s="39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25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50">
        <v>0</v>
      </c>
      <c r="AR13" s="10">
        <v>0</v>
      </c>
      <c r="AS13" s="10">
        <v>0</v>
      </c>
      <c r="AT13" s="25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</row>
    <row r="14" spans="1:72" s="1" customFormat="1" ht="23.85" customHeight="1">
      <c r="A14" s="92" t="s">
        <v>14</v>
      </c>
      <c r="B14" s="93"/>
      <c r="C14" s="93"/>
      <c r="D14" s="93"/>
      <c r="E14" s="93"/>
      <c r="F14" s="94"/>
      <c r="G14" s="26"/>
      <c r="H14" s="39">
        <f t="shared" ref="H14:L14" si="6">SUM(H15:H21)</f>
        <v>10.45</v>
      </c>
      <c r="I14" s="9">
        <f t="shared" si="6"/>
        <v>78312.3</v>
      </c>
      <c r="J14" s="9">
        <f t="shared" si="6"/>
        <v>80256</v>
      </c>
      <c r="K14" s="9">
        <f t="shared" si="6"/>
        <v>38710.979999999996</v>
      </c>
      <c r="L14" s="9">
        <f t="shared" si="6"/>
        <v>7034.9400000000005</v>
      </c>
      <c r="M14" s="9">
        <f t="shared" ref="M14" si="7">SUM(M15:M21)</f>
        <v>73032.959999999992</v>
      </c>
      <c r="N14" s="25">
        <v>11.129999999999999</v>
      </c>
      <c r="O14" s="9">
        <f t="shared" ref="O14:Q14" si="8">SUM(O15:O21)</f>
        <v>69170.724000000002</v>
      </c>
      <c r="P14" s="9">
        <f t="shared" si="8"/>
        <v>68062.176000000007</v>
      </c>
      <c r="Q14" s="9">
        <f t="shared" si="8"/>
        <v>68449.5</v>
      </c>
      <c r="R14" s="9">
        <f t="shared" ref="R14:AO14" si="9">SUM(R15:R21)</f>
        <v>68529.635999999999</v>
      </c>
      <c r="S14" s="9">
        <f t="shared" si="9"/>
        <v>67194.036000000007</v>
      </c>
      <c r="T14" s="9">
        <f t="shared" si="9"/>
        <v>69517.98000000001</v>
      </c>
      <c r="U14" s="9">
        <f t="shared" si="9"/>
        <v>72469.656000000003</v>
      </c>
      <c r="V14" s="9">
        <f t="shared" si="9"/>
        <v>69985.440000000002</v>
      </c>
      <c r="W14" s="9">
        <f t="shared" si="9"/>
        <v>70519.679999999993</v>
      </c>
      <c r="X14" s="9">
        <f t="shared" si="9"/>
        <v>55160.28</v>
      </c>
      <c r="Y14" s="9">
        <f t="shared" si="9"/>
        <v>69384.42</v>
      </c>
      <c r="Z14" s="9">
        <f t="shared" si="9"/>
        <v>71280.972000000009</v>
      </c>
      <c r="AA14" s="9">
        <f t="shared" ref="AA14" si="10">SUM(AA15:AA21)</f>
        <v>69731.676000000007</v>
      </c>
      <c r="AB14" s="9">
        <f t="shared" si="9"/>
        <v>69664.896000000008</v>
      </c>
      <c r="AC14" s="9">
        <f t="shared" si="9"/>
        <v>69090.587999999989</v>
      </c>
      <c r="AD14" s="9">
        <f t="shared" si="9"/>
        <v>69811.812000000005</v>
      </c>
      <c r="AE14" s="9">
        <f t="shared" si="9"/>
        <v>69758.387999999992</v>
      </c>
      <c r="AF14" s="9">
        <f t="shared" si="9"/>
        <v>44715.887999999999</v>
      </c>
      <c r="AG14" s="9">
        <f t="shared" si="9"/>
        <v>44902.871999999996</v>
      </c>
      <c r="AH14" s="9">
        <f t="shared" si="9"/>
        <v>7399.2240000000011</v>
      </c>
      <c r="AI14" s="9">
        <f t="shared" si="9"/>
        <v>70052.22</v>
      </c>
      <c r="AJ14" s="9">
        <f t="shared" si="9"/>
        <v>70706.664000000004</v>
      </c>
      <c r="AK14" s="9">
        <f t="shared" si="9"/>
        <v>73070.676000000007</v>
      </c>
      <c r="AL14" s="9">
        <f t="shared" si="9"/>
        <v>67461.156000000003</v>
      </c>
      <c r="AM14" s="9">
        <f t="shared" si="9"/>
        <v>69758.387999999992</v>
      </c>
      <c r="AN14" s="9">
        <f t="shared" si="9"/>
        <v>49871.304000000004</v>
      </c>
      <c r="AO14" s="9">
        <f t="shared" si="9"/>
        <v>76610.016000000003</v>
      </c>
      <c r="AP14" s="9">
        <f t="shared" ref="AP14:AX14" si="11">SUM(AP15:AP21)</f>
        <v>68783.400000000009</v>
      </c>
      <c r="AQ14" s="25">
        <f t="shared" si="11"/>
        <v>12.7</v>
      </c>
      <c r="AR14" s="9">
        <f t="shared" si="11"/>
        <v>82616.040000000008</v>
      </c>
      <c r="AS14" s="9">
        <f t="shared" si="11"/>
        <v>81854.040000000008</v>
      </c>
      <c r="AT14" s="25">
        <f t="shared" si="11"/>
        <v>4.6500000000000004</v>
      </c>
      <c r="AU14" s="9">
        <f t="shared" si="11"/>
        <v>34294.68</v>
      </c>
      <c r="AV14" s="9">
        <f t="shared" si="11"/>
        <v>23095.62</v>
      </c>
      <c r="AW14" s="9">
        <f t="shared" si="11"/>
        <v>42765.119999999995</v>
      </c>
      <c r="AX14" s="9">
        <f t="shared" si="11"/>
        <v>25935.840000000004</v>
      </c>
      <c r="AY14" s="9">
        <f t="shared" ref="AY14:BF14" si="12">SUM(AY15:AY21)</f>
        <v>28541.700000000004</v>
      </c>
      <c r="AZ14" s="9">
        <f t="shared" si="12"/>
        <v>28731.420000000002</v>
      </c>
      <c r="BA14" s="9">
        <f t="shared" si="12"/>
        <v>22961.699999999997</v>
      </c>
      <c r="BB14" s="9">
        <f t="shared" si="12"/>
        <v>22660.380000000005</v>
      </c>
      <c r="BC14" s="9">
        <f t="shared" si="12"/>
        <v>23073.3</v>
      </c>
      <c r="BD14" s="9">
        <f t="shared" si="12"/>
        <v>22972.86</v>
      </c>
      <c r="BE14" s="9">
        <f t="shared" si="12"/>
        <v>61949.16</v>
      </c>
      <c r="BF14" s="9">
        <f t="shared" si="12"/>
        <v>62311.86</v>
      </c>
      <c r="BG14" s="9">
        <f t="shared" ref="BG14:BH14" si="13">SUM(BG15:BG21)</f>
        <v>39913.74</v>
      </c>
      <c r="BH14" s="9">
        <f t="shared" si="13"/>
        <v>28681.199999999997</v>
      </c>
      <c r="BI14" s="9">
        <f t="shared" ref="BI14" si="14">SUM(BI15:BI21)</f>
        <v>41364.539999999994</v>
      </c>
    </row>
    <row r="15" spans="1:72" s="1" customFormat="1">
      <c r="A15" s="84" t="s">
        <v>40</v>
      </c>
      <c r="B15" s="84"/>
      <c r="C15" s="84"/>
      <c r="D15" s="84"/>
      <c r="E15" s="84"/>
      <c r="F15" s="84"/>
      <c r="G15" s="25" t="s">
        <v>41</v>
      </c>
      <c r="H15" s="39">
        <v>0.96</v>
      </c>
      <c r="I15" s="10">
        <f>0.96*12*I35</f>
        <v>7194.24</v>
      </c>
      <c r="J15" s="10">
        <f t="shared" ref="J15:L15" si="15">0.96*12*J35</f>
        <v>7372.7999999999993</v>
      </c>
      <c r="K15" s="10">
        <f t="shared" si="15"/>
        <v>3556.2239999999997</v>
      </c>
      <c r="L15" s="10">
        <f t="shared" si="15"/>
        <v>646.27200000000005</v>
      </c>
      <c r="M15" s="10">
        <f t="shared" ref="M15" si="16">0.96*12*M35</f>
        <v>6709.2479999999996</v>
      </c>
      <c r="N15" s="25">
        <v>0.95</v>
      </c>
      <c r="O15" s="10">
        <f t="shared" ref="O15:Q15" si="17">0.95*12*O35</f>
        <v>5904.0599999999986</v>
      </c>
      <c r="P15" s="10">
        <f t="shared" si="17"/>
        <v>5809.44</v>
      </c>
      <c r="Q15" s="10">
        <f t="shared" si="17"/>
        <v>5842.4999999999991</v>
      </c>
      <c r="R15" s="10">
        <f t="shared" ref="R15:AO15" si="18">0.95*12*R35</f>
        <v>5849.3399999999992</v>
      </c>
      <c r="S15" s="10">
        <f t="shared" si="18"/>
        <v>5735.3399999999992</v>
      </c>
      <c r="T15" s="10">
        <f t="shared" si="18"/>
        <v>5933.6999999999989</v>
      </c>
      <c r="U15" s="10">
        <f t="shared" si="18"/>
        <v>6185.6399999999994</v>
      </c>
      <c r="V15" s="10">
        <f t="shared" si="18"/>
        <v>5973.5999999999995</v>
      </c>
      <c r="W15" s="10">
        <f t="shared" si="18"/>
        <v>6019.1999999999989</v>
      </c>
      <c r="X15" s="10">
        <f t="shared" si="18"/>
        <v>4708.2</v>
      </c>
      <c r="Y15" s="10">
        <f t="shared" si="18"/>
        <v>5922.2999999999993</v>
      </c>
      <c r="Z15" s="10">
        <f t="shared" si="18"/>
        <v>6084.1799999999994</v>
      </c>
      <c r="AA15" s="10">
        <f t="shared" ref="AA15" si="19">0.95*12*AA35</f>
        <v>5951.94</v>
      </c>
      <c r="AB15" s="10">
        <f t="shared" si="18"/>
        <v>5946.24</v>
      </c>
      <c r="AC15" s="10">
        <f t="shared" si="18"/>
        <v>5897.2199999999984</v>
      </c>
      <c r="AD15" s="10">
        <f t="shared" si="18"/>
        <v>5958.78</v>
      </c>
      <c r="AE15" s="10">
        <f t="shared" si="18"/>
        <v>5954.2199999999984</v>
      </c>
      <c r="AF15" s="10">
        <f t="shared" si="18"/>
        <v>3816.72</v>
      </c>
      <c r="AG15" s="10">
        <f t="shared" si="18"/>
        <v>3832.6799999999994</v>
      </c>
      <c r="AH15" s="10">
        <f t="shared" si="18"/>
        <v>631.55999999999995</v>
      </c>
      <c r="AI15" s="10">
        <f t="shared" si="18"/>
        <v>5979.2999999999993</v>
      </c>
      <c r="AJ15" s="10">
        <f t="shared" si="18"/>
        <v>6035.1599999999989</v>
      </c>
      <c r="AK15" s="10">
        <f t="shared" si="18"/>
        <v>6236.94</v>
      </c>
      <c r="AL15" s="10">
        <f t="shared" si="18"/>
        <v>5758.1399999999994</v>
      </c>
      <c r="AM15" s="10">
        <f t="shared" si="18"/>
        <v>5954.2199999999984</v>
      </c>
      <c r="AN15" s="10">
        <f t="shared" si="18"/>
        <v>4256.7599999999993</v>
      </c>
      <c r="AO15" s="10">
        <f t="shared" si="18"/>
        <v>6539.0399999999991</v>
      </c>
      <c r="AP15" s="10">
        <f t="shared" ref="AP15" si="20">0.95*12*AP35</f>
        <v>5870.9999999999991</v>
      </c>
      <c r="AQ15" s="50">
        <v>0.59</v>
      </c>
      <c r="AR15" s="10">
        <f>0.59*12*AR35</f>
        <v>3838.0680000000002</v>
      </c>
      <c r="AS15" s="10">
        <f t="shared" ref="AS15" si="21">0.59*12*AS35</f>
        <v>3802.6680000000001</v>
      </c>
      <c r="AT15" s="25">
        <v>1.08</v>
      </c>
      <c r="AU15" s="10">
        <f>1.08*12*AU35</f>
        <v>7965.2160000000013</v>
      </c>
      <c r="AV15" s="10">
        <f t="shared" ref="AV15:AX15" si="22">1.08*12*AV35</f>
        <v>5364.1440000000002</v>
      </c>
      <c r="AW15" s="10">
        <f t="shared" si="22"/>
        <v>9932.5439999999999</v>
      </c>
      <c r="AX15" s="10">
        <f t="shared" si="22"/>
        <v>6023.8080000000009</v>
      </c>
      <c r="AY15" s="10">
        <f>1.08*12*AY35</f>
        <v>6629.0400000000009</v>
      </c>
      <c r="AZ15" s="10">
        <f t="shared" ref="AZ15:BB15" si="23">1.08*12*AZ35</f>
        <v>6673.1040000000003</v>
      </c>
      <c r="BA15" s="10">
        <f t="shared" si="23"/>
        <v>5333.04</v>
      </c>
      <c r="BB15" s="10">
        <f t="shared" si="23"/>
        <v>5263.0560000000005</v>
      </c>
      <c r="BC15" s="10">
        <f>1.08*12*BC35</f>
        <v>5358.96</v>
      </c>
      <c r="BD15" s="10">
        <f t="shared" ref="BD15:BF15" si="24">1.08*12*BD35</f>
        <v>5335.6320000000005</v>
      </c>
      <c r="BE15" s="10">
        <f t="shared" si="24"/>
        <v>14388.192000000001</v>
      </c>
      <c r="BF15" s="10">
        <f t="shared" si="24"/>
        <v>14472.432000000001</v>
      </c>
      <c r="BG15" s="10">
        <f t="shared" ref="BG15:BH15" si="25">1.08*12*BG35</f>
        <v>9270.2880000000005</v>
      </c>
      <c r="BH15" s="10">
        <f t="shared" si="25"/>
        <v>6661.4400000000005</v>
      </c>
      <c r="BI15" s="10">
        <f t="shared" ref="BI15" si="26">1.08*12*BI35</f>
        <v>9607.2479999999996</v>
      </c>
    </row>
    <row r="16" spans="1:72" s="1" customFormat="1">
      <c r="A16" s="84" t="s">
        <v>31</v>
      </c>
      <c r="B16" s="84"/>
      <c r="C16" s="84"/>
      <c r="D16" s="84"/>
      <c r="E16" s="84"/>
      <c r="F16" s="84"/>
      <c r="G16" s="25" t="s">
        <v>13</v>
      </c>
      <c r="H16" s="39">
        <v>0.47</v>
      </c>
      <c r="I16" s="10">
        <f>0.47*12*I35</f>
        <v>3522.18</v>
      </c>
      <c r="J16" s="10">
        <f t="shared" ref="J16:L16" si="27">0.47*12*J35</f>
        <v>3609.6</v>
      </c>
      <c r="K16" s="10">
        <f t="shared" si="27"/>
        <v>1741.0679999999998</v>
      </c>
      <c r="L16" s="10">
        <f t="shared" si="27"/>
        <v>316.404</v>
      </c>
      <c r="M16" s="10">
        <f t="shared" ref="M16" si="28">0.47*12*M35</f>
        <v>3284.7359999999999</v>
      </c>
      <c r="N16" s="25">
        <v>0.89</v>
      </c>
      <c r="O16" s="10">
        <f t="shared" ref="O16:Q16" si="29">0.89*12*O35</f>
        <v>5531.1719999999996</v>
      </c>
      <c r="P16" s="10">
        <f t="shared" si="29"/>
        <v>5442.5280000000002</v>
      </c>
      <c r="Q16" s="10">
        <f t="shared" si="29"/>
        <v>5473.5</v>
      </c>
      <c r="R16" s="10">
        <f t="shared" ref="R16:AO16" si="30">0.89*12*R35</f>
        <v>5479.9080000000004</v>
      </c>
      <c r="S16" s="10">
        <f t="shared" si="30"/>
        <v>5373.1080000000002</v>
      </c>
      <c r="T16" s="10">
        <f t="shared" si="30"/>
        <v>5558.94</v>
      </c>
      <c r="U16" s="10">
        <f t="shared" si="30"/>
        <v>5794.9679999999998</v>
      </c>
      <c r="V16" s="10">
        <f t="shared" si="30"/>
        <v>5596.32</v>
      </c>
      <c r="W16" s="10">
        <f t="shared" si="30"/>
        <v>5639.04</v>
      </c>
      <c r="X16" s="10">
        <f t="shared" si="30"/>
        <v>4410.84</v>
      </c>
      <c r="Y16" s="10">
        <f t="shared" si="30"/>
        <v>5548.26</v>
      </c>
      <c r="Z16" s="10">
        <f t="shared" si="30"/>
        <v>5699.9160000000002</v>
      </c>
      <c r="AA16" s="10">
        <f t="shared" ref="AA16" si="31">0.89*12*AA35</f>
        <v>5576.0280000000002</v>
      </c>
      <c r="AB16" s="10">
        <f t="shared" si="30"/>
        <v>5570.6880000000001</v>
      </c>
      <c r="AC16" s="10">
        <f t="shared" si="30"/>
        <v>5524.7639999999992</v>
      </c>
      <c r="AD16" s="10">
        <f t="shared" si="30"/>
        <v>5582.4360000000006</v>
      </c>
      <c r="AE16" s="10">
        <f t="shared" si="30"/>
        <v>5578.1639999999998</v>
      </c>
      <c r="AF16" s="10">
        <f t="shared" si="30"/>
        <v>3575.6640000000002</v>
      </c>
      <c r="AG16" s="10">
        <f t="shared" si="30"/>
        <v>3590.616</v>
      </c>
      <c r="AH16" s="10">
        <f t="shared" si="30"/>
        <v>591.67200000000003</v>
      </c>
      <c r="AI16" s="10">
        <f t="shared" si="30"/>
        <v>5601.66</v>
      </c>
      <c r="AJ16" s="10">
        <f t="shared" si="30"/>
        <v>5653.9919999999993</v>
      </c>
      <c r="AK16" s="10">
        <f t="shared" si="30"/>
        <v>5843.0280000000002</v>
      </c>
      <c r="AL16" s="10">
        <f t="shared" si="30"/>
        <v>5394.4679999999998</v>
      </c>
      <c r="AM16" s="10">
        <f t="shared" si="30"/>
        <v>5578.1639999999998</v>
      </c>
      <c r="AN16" s="10">
        <f t="shared" si="30"/>
        <v>3987.9119999999998</v>
      </c>
      <c r="AO16" s="10">
        <f t="shared" si="30"/>
        <v>6126.0479999999998</v>
      </c>
      <c r="AP16" s="10">
        <f t="shared" ref="AP16" si="32">0.89*12*AP35</f>
        <v>5500.2</v>
      </c>
      <c r="AQ16" s="50">
        <v>0.89</v>
      </c>
      <c r="AR16" s="10">
        <f>0.89*12*AR35</f>
        <v>5789.6279999999997</v>
      </c>
      <c r="AS16" s="10">
        <f t="shared" ref="AS16" si="33">0.89*12*AS35</f>
        <v>5736.2280000000001</v>
      </c>
      <c r="AT16" s="25">
        <v>0.41</v>
      </c>
      <c r="AU16" s="10">
        <f>0.41*12*AU35</f>
        <v>3023.8319999999999</v>
      </c>
      <c r="AV16" s="10">
        <f t="shared" ref="AV16:AX16" si="34">0.41*12*AV35</f>
        <v>2036.3879999999999</v>
      </c>
      <c r="AW16" s="10">
        <f t="shared" si="34"/>
        <v>3770.6879999999996</v>
      </c>
      <c r="AX16" s="10">
        <f t="shared" si="34"/>
        <v>2286.8159999999998</v>
      </c>
      <c r="AY16" s="10">
        <f>0.41*12*AY35</f>
        <v>2516.58</v>
      </c>
      <c r="AZ16" s="10">
        <f t="shared" ref="AZ16:BB16" si="35">0.41*12*AZ35</f>
        <v>2533.308</v>
      </c>
      <c r="BA16" s="10">
        <f t="shared" si="35"/>
        <v>2024.58</v>
      </c>
      <c r="BB16" s="10">
        <f t="shared" si="35"/>
        <v>1998.0120000000002</v>
      </c>
      <c r="BC16" s="10">
        <f>0.41*12*BC35</f>
        <v>2034.42</v>
      </c>
      <c r="BD16" s="10">
        <f t="shared" ref="BD16:BF16" si="36">0.41*12*BD35</f>
        <v>2025.5639999999999</v>
      </c>
      <c r="BE16" s="10">
        <f t="shared" si="36"/>
        <v>5462.1840000000002</v>
      </c>
      <c r="BF16" s="10">
        <f t="shared" si="36"/>
        <v>5494.1639999999998</v>
      </c>
      <c r="BG16" s="10">
        <f t="shared" ref="BG16:BH16" si="37">0.41*12*BG35</f>
        <v>3519.2759999999998</v>
      </c>
      <c r="BH16" s="10">
        <f t="shared" si="37"/>
        <v>2528.88</v>
      </c>
      <c r="BI16" s="10">
        <f t="shared" ref="BI16" si="38">0.41*12*BI35</f>
        <v>3647.1959999999999</v>
      </c>
    </row>
    <row r="17" spans="1:61" s="1" customFormat="1">
      <c r="A17" s="84" t="s">
        <v>32</v>
      </c>
      <c r="B17" s="84"/>
      <c r="C17" s="84"/>
      <c r="D17" s="84"/>
      <c r="E17" s="84"/>
      <c r="F17" s="84"/>
      <c r="G17" s="25" t="s">
        <v>42</v>
      </c>
      <c r="H17" s="39">
        <v>0.23</v>
      </c>
      <c r="I17" s="10">
        <f>0.23*12*I35</f>
        <v>1723.6200000000001</v>
      </c>
      <c r="J17" s="10">
        <f t="shared" ref="J17:L17" si="39">0.23*12*J35</f>
        <v>1766.4</v>
      </c>
      <c r="K17" s="10">
        <f t="shared" si="39"/>
        <v>852.01200000000006</v>
      </c>
      <c r="L17" s="10">
        <f t="shared" si="39"/>
        <v>154.83600000000001</v>
      </c>
      <c r="M17" s="10">
        <f t="shared" ref="M17" si="40">0.23*12*M35</f>
        <v>1607.424</v>
      </c>
      <c r="N17" s="25">
        <v>0.38</v>
      </c>
      <c r="O17" s="10">
        <f t="shared" ref="O17:Q17" si="41">0.38*12*O35</f>
        <v>2361.6240000000003</v>
      </c>
      <c r="P17" s="10">
        <f t="shared" si="41"/>
        <v>2323.7760000000003</v>
      </c>
      <c r="Q17" s="10">
        <f t="shared" si="41"/>
        <v>2337.0000000000005</v>
      </c>
      <c r="R17" s="10">
        <f t="shared" ref="R17:AO17" si="42">0.38*12*R35</f>
        <v>2339.7360000000003</v>
      </c>
      <c r="S17" s="10">
        <f t="shared" si="42"/>
        <v>2294.1360000000004</v>
      </c>
      <c r="T17" s="10">
        <f t="shared" si="42"/>
        <v>2373.4800000000005</v>
      </c>
      <c r="U17" s="10">
        <f t="shared" si="42"/>
        <v>2474.2560000000003</v>
      </c>
      <c r="V17" s="10">
        <f t="shared" si="42"/>
        <v>2389.44</v>
      </c>
      <c r="W17" s="10">
        <f t="shared" si="42"/>
        <v>2407.6800000000003</v>
      </c>
      <c r="X17" s="10">
        <f t="shared" si="42"/>
        <v>1883.2800000000002</v>
      </c>
      <c r="Y17" s="10">
        <f t="shared" si="42"/>
        <v>2368.92</v>
      </c>
      <c r="Z17" s="10">
        <f t="shared" si="42"/>
        <v>2433.6720000000005</v>
      </c>
      <c r="AA17" s="10">
        <f t="shared" ref="AA17" si="43">0.38*12*AA35</f>
        <v>2380.7760000000003</v>
      </c>
      <c r="AB17" s="10">
        <f t="shared" si="42"/>
        <v>2378.4960000000005</v>
      </c>
      <c r="AC17" s="10">
        <f t="shared" si="42"/>
        <v>2358.8879999999999</v>
      </c>
      <c r="AD17" s="10">
        <f t="shared" si="42"/>
        <v>2383.5120000000006</v>
      </c>
      <c r="AE17" s="10">
        <f t="shared" si="42"/>
        <v>2381.6880000000001</v>
      </c>
      <c r="AF17" s="10">
        <f t="shared" si="42"/>
        <v>1526.6880000000003</v>
      </c>
      <c r="AG17" s="10">
        <f t="shared" si="42"/>
        <v>1533.0720000000001</v>
      </c>
      <c r="AH17" s="10">
        <f t="shared" si="42"/>
        <v>252.62400000000002</v>
      </c>
      <c r="AI17" s="10">
        <f t="shared" si="42"/>
        <v>2391.7200000000003</v>
      </c>
      <c r="AJ17" s="10">
        <f t="shared" si="42"/>
        <v>2414.0640000000003</v>
      </c>
      <c r="AK17" s="10">
        <f t="shared" si="42"/>
        <v>2494.7760000000003</v>
      </c>
      <c r="AL17" s="10">
        <f t="shared" si="42"/>
        <v>2303.2560000000003</v>
      </c>
      <c r="AM17" s="10">
        <f t="shared" si="42"/>
        <v>2381.6880000000001</v>
      </c>
      <c r="AN17" s="10">
        <f t="shared" si="42"/>
        <v>1702.7040000000002</v>
      </c>
      <c r="AO17" s="10">
        <f t="shared" si="42"/>
        <v>2615.6160000000004</v>
      </c>
      <c r="AP17" s="10">
        <f t="shared" ref="AP17" si="44">0.38*12*AP35</f>
        <v>2348.4</v>
      </c>
      <c r="AQ17" s="50">
        <v>0.23</v>
      </c>
      <c r="AR17" s="10">
        <f>0.23*12*AR35</f>
        <v>1496.1960000000001</v>
      </c>
      <c r="AS17" s="10">
        <f t="shared" ref="AS17" si="45">0.23*12*AS35</f>
        <v>1482.3960000000002</v>
      </c>
      <c r="AT17" s="25">
        <v>0.32</v>
      </c>
      <c r="AU17" s="10">
        <f>0.32*12*AU35</f>
        <v>2360.0639999999999</v>
      </c>
      <c r="AV17" s="10">
        <f t="shared" ref="AV17:AX17" si="46">0.32*12*AV35</f>
        <v>1589.3759999999997</v>
      </c>
      <c r="AW17" s="10">
        <f t="shared" si="46"/>
        <v>2942.9759999999997</v>
      </c>
      <c r="AX17" s="10">
        <f t="shared" si="46"/>
        <v>1784.8319999999999</v>
      </c>
      <c r="AY17" s="10">
        <f>0.32*12*AY35</f>
        <v>1964.1599999999999</v>
      </c>
      <c r="AZ17" s="10">
        <f t="shared" ref="AZ17:BB17" si="47">0.32*12*AZ35</f>
        <v>1977.2159999999999</v>
      </c>
      <c r="BA17" s="10">
        <f t="shared" si="47"/>
        <v>1580.1599999999999</v>
      </c>
      <c r="BB17" s="10">
        <f t="shared" si="47"/>
        <v>1559.424</v>
      </c>
      <c r="BC17" s="10">
        <f>0.32*12*BC35</f>
        <v>1587.84</v>
      </c>
      <c r="BD17" s="10">
        <f t="shared" ref="BD17:BF17" si="48">0.32*12*BD35</f>
        <v>1580.9279999999999</v>
      </c>
      <c r="BE17" s="10">
        <f t="shared" si="48"/>
        <v>4263.1679999999997</v>
      </c>
      <c r="BF17" s="10">
        <f t="shared" si="48"/>
        <v>4288.1279999999997</v>
      </c>
      <c r="BG17" s="10">
        <f t="shared" ref="BG17:BH17" si="49">0.32*12*BG35</f>
        <v>2746.7519999999995</v>
      </c>
      <c r="BH17" s="10">
        <f t="shared" si="49"/>
        <v>1973.76</v>
      </c>
      <c r="BI17" s="10">
        <f t="shared" ref="BI17" si="50">0.32*12*BI35</f>
        <v>2846.5919999999996</v>
      </c>
    </row>
    <row r="18" spans="1:61" s="1" customFormat="1" ht="57.75" customHeight="1">
      <c r="A18" s="86" t="s">
        <v>33</v>
      </c>
      <c r="B18" s="87"/>
      <c r="C18" s="87"/>
      <c r="D18" s="87"/>
      <c r="E18" s="87"/>
      <c r="F18" s="88"/>
      <c r="G18" s="27" t="s">
        <v>12</v>
      </c>
      <c r="H18" s="39">
        <v>0.15</v>
      </c>
      <c r="I18" s="10">
        <f>0.15*12*I35</f>
        <v>1124.0999999999999</v>
      </c>
      <c r="J18" s="10">
        <f t="shared" ref="J18:L18" si="51">0.15*12*J35</f>
        <v>1152</v>
      </c>
      <c r="K18" s="10">
        <f t="shared" si="51"/>
        <v>555.66</v>
      </c>
      <c r="L18" s="10">
        <f t="shared" si="51"/>
        <v>100.97999999999999</v>
      </c>
      <c r="M18" s="10">
        <f t="shared" ref="M18" si="52">0.15*12*M35</f>
        <v>1048.32</v>
      </c>
      <c r="N18" s="25">
        <v>0.27</v>
      </c>
      <c r="O18" s="10">
        <f t="shared" ref="O18:Q18" si="53">0.27*12*O35</f>
        <v>1677.9960000000001</v>
      </c>
      <c r="P18" s="10">
        <f t="shared" si="53"/>
        <v>1651.1040000000003</v>
      </c>
      <c r="Q18" s="10">
        <f t="shared" si="53"/>
        <v>1660.5</v>
      </c>
      <c r="R18" s="10">
        <f t="shared" ref="R18:AO18" si="54">0.27*12*R35</f>
        <v>1662.4440000000002</v>
      </c>
      <c r="S18" s="10">
        <f t="shared" si="54"/>
        <v>1630.0440000000001</v>
      </c>
      <c r="T18" s="10">
        <f t="shared" si="54"/>
        <v>1686.42</v>
      </c>
      <c r="U18" s="10">
        <f t="shared" si="54"/>
        <v>1758.0240000000001</v>
      </c>
      <c r="V18" s="10">
        <f t="shared" si="54"/>
        <v>1697.7600000000002</v>
      </c>
      <c r="W18" s="10">
        <f t="shared" si="54"/>
        <v>1710.72</v>
      </c>
      <c r="X18" s="10">
        <f t="shared" si="54"/>
        <v>1338.1200000000001</v>
      </c>
      <c r="Y18" s="10">
        <f t="shared" si="54"/>
        <v>1683.18</v>
      </c>
      <c r="Z18" s="10">
        <f t="shared" si="54"/>
        <v>1729.1880000000003</v>
      </c>
      <c r="AA18" s="10">
        <f t="shared" ref="AA18" si="55">0.27*12*AA35</f>
        <v>1691.6040000000003</v>
      </c>
      <c r="AB18" s="10">
        <f t="shared" si="54"/>
        <v>1689.9840000000002</v>
      </c>
      <c r="AC18" s="10">
        <f t="shared" si="54"/>
        <v>1676.0519999999999</v>
      </c>
      <c r="AD18" s="10">
        <f t="shared" si="54"/>
        <v>1693.5480000000002</v>
      </c>
      <c r="AE18" s="10">
        <f t="shared" si="54"/>
        <v>1692.252</v>
      </c>
      <c r="AF18" s="10">
        <f t="shared" si="54"/>
        <v>1084.7520000000002</v>
      </c>
      <c r="AG18" s="10">
        <f t="shared" si="54"/>
        <v>1089.288</v>
      </c>
      <c r="AH18" s="10">
        <f t="shared" si="54"/>
        <v>179.49600000000001</v>
      </c>
      <c r="AI18" s="10">
        <f t="shared" si="54"/>
        <v>1699.38</v>
      </c>
      <c r="AJ18" s="10">
        <f t="shared" si="54"/>
        <v>1715.2560000000001</v>
      </c>
      <c r="AK18" s="10">
        <f t="shared" si="54"/>
        <v>1772.6040000000003</v>
      </c>
      <c r="AL18" s="10">
        <f t="shared" si="54"/>
        <v>1636.5240000000001</v>
      </c>
      <c r="AM18" s="10">
        <f t="shared" si="54"/>
        <v>1692.252</v>
      </c>
      <c r="AN18" s="10">
        <f t="shared" si="54"/>
        <v>1209.816</v>
      </c>
      <c r="AO18" s="10">
        <f t="shared" si="54"/>
        <v>1858.4640000000002</v>
      </c>
      <c r="AP18" s="10">
        <f t="shared" ref="AP18" si="56">0.27*12*AP35</f>
        <v>1668.6000000000001</v>
      </c>
      <c r="AQ18" s="50">
        <v>0.12</v>
      </c>
      <c r="AR18" s="10">
        <f>0.12*12*AR35</f>
        <v>780.62400000000002</v>
      </c>
      <c r="AS18" s="10">
        <f t="shared" ref="AS18" si="57">0.12*12*AS35</f>
        <v>773.42399999999998</v>
      </c>
      <c r="AT18" s="25">
        <v>0.17</v>
      </c>
      <c r="AU18" s="10">
        <f>0.17*12*AU35</f>
        <v>1253.7840000000001</v>
      </c>
      <c r="AV18" s="10">
        <f t="shared" ref="AV18:AX18" si="58">0.17*12*AV35</f>
        <v>844.35599999999999</v>
      </c>
      <c r="AW18" s="10">
        <f t="shared" si="58"/>
        <v>1563.4559999999999</v>
      </c>
      <c r="AX18" s="10">
        <f t="shared" si="58"/>
        <v>948.19200000000001</v>
      </c>
      <c r="AY18" s="10">
        <f>0.17*12*AY35</f>
        <v>1043.46</v>
      </c>
      <c r="AZ18" s="10">
        <f t="shared" ref="AZ18:BB18" si="59">0.17*12*AZ35</f>
        <v>1050.396</v>
      </c>
      <c r="BA18" s="10">
        <f t="shared" si="59"/>
        <v>839.46</v>
      </c>
      <c r="BB18" s="10">
        <f t="shared" si="59"/>
        <v>828.44400000000007</v>
      </c>
      <c r="BC18" s="10">
        <f>0.17*12*BC35</f>
        <v>843.54</v>
      </c>
      <c r="BD18" s="10">
        <f t="shared" ref="BD18:BF18" si="60">0.17*12*BD35</f>
        <v>839.86799999999994</v>
      </c>
      <c r="BE18" s="10">
        <f t="shared" si="60"/>
        <v>2264.808</v>
      </c>
      <c r="BF18" s="10">
        <f t="shared" si="60"/>
        <v>2278.0680000000002</v>
      </c>
      <c r="BG18" s="10">
        <f t="shared" ref="BG18:BH18" si="61">0.17*12*BG35</f>
        <v>1459.212</v>
      </c>
      <c r="BH18" s="10">
        <f t="shared" si="61"/>
        <v>1048.56</v>
      </c>
      <c r="BI18" s="10">
        <f t="shared" ref="BI18" si="62">0.17*12*BI35</f>
        <v>1512.252</v>
      </c>
    </row>
    <row r="19" spans="1:61" s="1" customFormat="1" ht="23.25" customHeight="1">
      <c r="A19" s="83" t="s">
        <v>34</v>
      </c>
      <c r="B19" s="84"/>
      <c r="C19" s="84"/>
      <c r="D19" s="84"/>
      <c r="E19" s="84"/>
      <c r="F19" s="84"/>
      <c r="G19" s="25" t="s">
        <v>43</v>
      </c>
      <c r="H19" s="39">
        <v>0.05</v>
      </c>
      <c r="I19" s="10">
        <f t="shared" ref="I19:L19" si="63">0.05*12*I35</f>
        <v>374.70000000000005</v>
      </c>
      <c r="J19" s="10">
        <f t="shared" si="63"/>
        <v>384.00000000000006</v>
      </c>
      <c r="K19" s="10">
        <f t="shared" si="63"/>
        <v>185.22000000000003</v>
      </c>
      <c r="L19" s="10">
        <f t="shared" si="63"/>
        <v>33.660000000000004</v>
      </c>
      <c r="M19" s="10">
        <f t="shared" ref="M19" si="64">0.05*12*M35</f>
        <v>349.44000000000005</v>
      </c>
      <c r="N19" s="25">
        <v>0.05</v>
      </c>
      <c r="O19" s="10">
        <f t="shared" ref="O19:Q19" si="65">0.05*12*O35</f>
        <v>310.74</v>
      </c>
      <c r="P19" s="10">
        <f t="shared" si="65"/>
        <v>305.76000000000005</v>
      </c>
      <c r="Q19" s="10">
        <f t="shared" si="65"/>
        <v>307.50000000000006</v>
      </c>
      <c r="R19" s="10">
        <f t="shared" ref="R19:AO19" si="66">0.05*12*R35</f>
        <v>307.86000000000007</v>
      </c>
      <c r="S19" s="10">
        <f t="shared" si="66"/>
        <v>301.86000000000007</v>
      </c>
      <c r="T19" s="10">
        <f t="shared" si="66"/>
        <v>312.30000000000007</v>
      </c>
      <c r="U19" s="10">
        <f t="shared" si="66"/>
        <v>325.56000000000006</v>
      </c>
      <c r="V19" s="10">
        <f t="shared" si="66"/>
        <v>314.40000000000003</v>
      </c>
      <c r="W19" s="10">
        <f t="shared" si="66"/>
        <v>316.80000000000007</v>
      </c>
      <c r="X19" s="10">
        <f t="shared" si="66"/>
        <v>247.80000000000004</v>
      </c>
      <c r="Y19" s="10">
        <f t="shared" si="66"/>
        <v>311.70000000000005</v>
      </c>
      <c r="Z19" s="10">
        <f t="shared" si="66"/>
        <v>320.22000000000008</v>
      </c>
      <c r="AA19" s="10">
        <f t="shared" ref="AA19" si="67">0.05*12*AA35</f>
        <v>313.26000000000005</v>
      </c>
      <c r="AB19" s="10">
        <f t="shared" si="66"/>
        <v>312.96000000000004</v>
      </c>
      <c r="AC19" s="10">
        <f t="shared" si="66"/>
        <v>310.38</v>
      </c>
      <c r="AD19" s="10">
        <f t="shared" si="66"/>
        <v>313.62000000000006</v>
      </c>
      <c r="AE19" s="10">
        <f t="shared" si="66"/>
        <v>313.38</v>
      </c>
      <c r="AF19" s="10">
        <f t="shared" si="66"/>
        <v>200.88000000000002</v>
      </c>
      <c r="AG19" s="10">
        <f t="shared" si="66"/>
        <v>201.72000000000003</v>
      </c>
      <c r="AH19" s="10">
        <f t="shared" si="66"/>
        <v>33.24</v>
      </c>
      <c r="AI19" s="10">
        <f t="shared" si="66"/>
        <v>314.70000000000005</v>
      </c>
      <c r="AJ19" s="10">
        <f t="shared" si="66"/>
        <v>317.64000000000004</v>
      </c>
      <c r="AK19" s="10">
        <f t="shared" si="66"/>
        <v>328.26000000000005</v>
      </c>
      <c r="AL19" s="10">
        <f t="shared" si="66"/>
        <v>303.06000000000006</v>
      </c>
      <c r="AM19" s="10">
        <f t="shared" si="66"/>
        <v>313.38</v>
      </c>
      <c r="AN19" s="10">
        <f t="shared" si="66"/>
        <v>224.04000000000002</v>
      </c>
      <c r="AO19" s="10">
        <f t="shared" si="66"/>
        <v>344.16000000000008</v>
      </c>
      <c r="AP19" s="10">
        <f t="shared" ref="AP19" si="68">0.05*12*AP35</f>
        <v>309.00000000000006</v>
      </c>
      <c r="AQ19" s="50">
        <v>0.05</v>
      </c>
      <c r="AR19" s="10">
        <f t="shared" ref="AR19:AS19" si="69">0.05*12*AR35</f>
        <v>325.26000000000005</v>
      </c>
      <c r="AS19" s="10">
        <f t="shared" si="69"/>
        <v>322.26000000000005</v>
      </c>
      <c r="AT19" s="25">
        <v>0.05</v>
      </c>
      <c r="AU19" s="10">
        <f>0.05*12*AU35</f>
        <v>368.76000000000005</v>
      </c>
      <c r="AV19" s="10">
        <f t="shared" ref="AV19:AX19" si="70">0.05*12*AV35</f>
        <v>248.34000000000003</v>
      </c>
      <c r="AW19" s="10">
        <f t="shared" si="70"/>
        <v>459.84000000000003</v>
      </c>
      <c r="AX19" s="10">
        <f t="shared" si="70"/>
        <v>278.88000000000005</v>
      </c>
      <c r="AY19" s="10">
        <f>0.05*12*AY35</f>
        <v>306.90000000000003</v>
      </c>
      <c r="AZ19" s="10">
        <f t="shared" ref="AZ19:BB19" si="71">0.05*12*AZ35</f>
        <v>308.94000000000005</v>
      </c>
      <c r="BA19" s="10">
        <f t="shared" si="71"/>
        <v>246.90000000000003</v>
      </c>
      <c r="BB19" s="10">
        <f t="shared" si="71"/>
        <v>243.66000000000005</v>
      </c>
      <c r="BC19" s="10">
        <f>0.05*12*BC35</f>
        <v>248.10000000000002</v>
      </c>
      <c r="BD19" s="10">
        <f t="shared" ref="BD19:BF19" si="72">0.05*12*BD35</f>
        <v>247.02000000000004</v>
      </c>
      <c r="BE19" s="10">
        <f t="shared" si="72"/>
        <v>666.12000000000012</v>
      </c>
      <c r="BF19" s="10">
        <f t="shared" si="72"/>
        <v>670.0200000000001</v>
      </c>
      <c r="BG19" s="10">
        <f t="shared" ref="BG19:BH19" si="73">0.05*12*BG35</f>
        <v>429.18000000000006</v>
      </c>
      <c r="BH19" s="10">
        <f t="shared" si="73"/>
        <v>308.40000000000003</v>
      </c>
      <c r="BI19" s="10">
        <f t="shared" ref="BI19" si="74">0.05*12*BI35</f>
        <v>444.78000000000003</v>
      </c>
    </row>
    <row r="20" spans="1:61" s="1" customFormat="1" ht="32.25">
      <c r="A20" s="84" t="s">
        <v>35</v>
      </c>
      <c r="B20" s="84"/>
      <c r="C20" s="84"/>
      <c r="D20" s="84"/>
      <c r="E20" s="84"/>
      <c r="F20" s="84"/>
      <c r="G20" s="28" t="s">
        <v>48</v>
      </c>
      <c r="H20" s="39">
        <v>3.89</v>
      </c>
      <c r="I20" s="10">
        <f>3.89*12*I35</f>
        <v>29151.66</v>
      </c>
      <c r="J20" s="10">
        <f t="shared" ref="J20:L20" si="75">3.89*12*J35</f>
        <v>29875.200000000001</v>
      </c>
      <c r="K20" s="10">
        <f t="shared" si="75"/>
        <v>14410.116</v>
      </c>
      <c r="L20" s="10">
        <f t="shared" si="75"/>
        <v>2618.748</v>
      </c>
      <c r="M20" s="10">
        <f t="shared" ref="M20" si="76">3.89*12*M35</f>
        <v>27186.431999999997</v>
      </c>
      <c r="N20" s="25">
        <v>3.89</v>
      </c>
      <c r="O20" s="10">
        <f t="shared" ref="O20:Q20" si="77">3.89*12*O35</f>
        <v>24175.572</v>
      </c>
      <c r="P20" s="10">
        <f t="shared" si="77"/>
        <v>23788.128000000001</v>
      </c>
      <c r="Q20" s="10">
        <f t="shared" si="77"/>
        <v>23923.5</v>
      </c>
      <c r="R20" s="10">
        <f t="shared" ref="R20:AO20" si="78">3.89*12*R35</f>
        <v>23951.508000000002</v>
      </c>
      <c r="S20" s="10">
        <f t="shared" si="78"/>
        <v>23484.708000000002</v>
      </c>
      <c r="T20" s="10">
        <f t="shared" si="78"/>
        <v>24296.94</v>
      </c>
      <c r="U20" s="10">
        <f t="shared" si="78"/>
        <v>25328.567999999999</v>
      </c>
      <c r="V20" s="10">
        <f t="shared" si="78"/>
        <v>24460.32</v>
      </c>
      <c r="W20" s="10">
        <f t="shared" si="78"/>
        <v>24647.040000000001</v>
      </c>
      <c r="X20" s="10">
        <f t="shared" si="78"/>
        <v>19278.84</v>
      </c>
      <c r="Y20" s="10">
        <f t="shared" si="78"/>
        <v>24250.26</v>
      </c>
      <c r="Z20" s="10">
        <f t="shared" si="78"/>
        <v>24913.116000000002</v>
      </c>
      <c r="AA20" s="10">
        <f t="shared" ref="AA20" si="79">3.89*12*AA35</f>
        <v>24371.628000000001</v>
      </c>
      <c r="AB20" s="10">
        <f t="shared" si="78"/>
        <v>24348.288</v>
      </c>
      <c r="AC20" s="10">
        <f t="shared" si="78"/>
        <v>24147.563999999998</v>
      </c>
      <c r="AD20" s="10">
        <f t="shared" si="78"/>
        <v>24399.636000000002</v>
      </c>
      <c r="AE20" s="10">
        <f t="shared" si="78"/>
        <v>24380.963999999996</v>
      </c>
      <c r="AF20" s="10">
        <f t="shared" si="78"/>
        <v>15628.464</v>
      </c>
      <c r="AG20" s="10">
        <f t="shared" si="78"/>
        <v>15693.815999999999</v>
      </c>
      <c r="AH20" s="10">
        <f t="shared" si="78"/>
        <v>2586.0720000000001</v>
      </c>
      <c r="AI20" s="10">
        <f t="shared" si="78"/>
        <v>24483.66</v>
      </c>
      <c r="AJ20" s="10">
        <f t="shared" si="78"/>
        <v>24712.392</v>
      </c>
      <c r="AK20" s="10">
        <f t="shared" si="78"/>
        <v>25538.628000000001</v>
      </c>
      <c r="AL20" s="10">
        <f t="shared" si="78"/>
        <v>23578.067999999999</v>
      </c>
      <c r="AM20" s="10">
        <f t="shared" si="78"/>
        <v>24380.963999999996</v>
      </c>
      <c r="AN20" s="10">
        <f t="shared" si="78"/>
        <v>17430.311999999998</v>
      </c>
      <c r="AO20" s="10">
        <f t="shared" si="78"/>
        <v>26775.648000000001</v>
      </c>
      <c r="AP20" s="10">
        <f t="shared" ref="AP20" si="80">3.89*12*AP35</f>
        <v>24040.2</v>
      </c>
      <c r="AQ20" s="50">
        <v>6.12</v>
      </c>
      <c r="AR20" s="10">
        <f>6.12*12*AR35</f>
        <v>39811.824000000001</v>
      </c>
      <c r="AS20" s="10">
        <f t="shared" ref="AS20" si="81">6.12*12*AS35</f>
        <v>39444.624000000003</v>
      </c>
      <c r="AT20" s="25">
        <v>2.62</v>
      </c>
      <c r="AU20" s="10">
        <f>2.62*12*AU35</f>
        <v>19323.024000000001</v>
      </c>
      <c r="AV20" s="10">
        <f t="shared" ref="AV20:AX20" si="82">2.62*12*AV35</f>
        <v>13013.016</v>
      </c>
      <c r="AW20" s="10">
        <f t="shared" si="82"/>
        <v>24095.616000000002</v>
      </c>
      <c r="AX20" s="10">
        <f t="shared" si="82"/>
        <v>14613.312000000002</v>
      </c>
      <c r="AY20" s="10">
        <f>2.62*12*AY35</f>
        <v>16081.560000000001</v>
      </c>
      <c r="AZ20" s="10">
        <f t="shared" ref="AZ20:BB20" si="83">2.62*12*AZ35</f>
        <v>16188.456</v>
      </c>
      <c r="BA20" s="10">
        <f t="shared" si="83"/>
        <v>12937.560000000001</v>
      </c>
      <c r="BB20" s="10">
        <f t="shared" si="83"/>
        <v>12767.784000000001</v>
      </c>
      <c r="BC20" s="10">
        <f>2.62*12*BC35</f>
        <v>13000.44</v>
      </c>
      <c r="BD20" s="10">
        <f t="shared" ref="BD20:BF20" si="84">2.62*12*BD35</f>
        <v>12943.848</v>
      </c>
      <c r="BE20" s="10">
        <f t="shared" si="84"/>
        <v>34904.688000000002</v>
      </c>
      <c r="BF20" s="10">
        <f t="shared" si="84"/>
        <v>35109.048000000003</v>
      </c>
      <c r="BG20" s="10">
        <f t="shared" ref="BG20:BH20" si="85">2.62*12*BG35</f>
        <v>22489.031999999999</v>
      </c>
      <c r="BH20" s="10">
        <f t="shared" si="85"/>
        <v>16160.16</v>
      </c>
      <c r="BI20" s="10">
        <f t="shared" ref="BI20" si="86">2.62*12*BI35</f>
        <v>23306.471999999998</v>
      </c>
    </row>
    <row r="21" spans="1:61" s="1" customFormat="1">
      <c r="A21" s="84" t="s">
        <v>36</v>
      </c>
      <c r="B21" s="84"/>
      <c r="C21" s="84"/>
      <c r="D21" s="84"/>
      <c r="E21" s="84"/>
      <c r="F21" s="84"/>
      <c r="G21" s="25" t="s">
        <v>4</v>
      </c>
      <c r="H21" s="39">
        <v>4.7</v>
      </c>
      <c r="I21" s="10">
        <f>4.7*12*I35</f>
        <v>35221.800000000003</v>
      </c>
      <c r="J21" s="10">
        <f t="shared" ref="J21:L21" si="87">4.7*12*J35</f>
        <v>36096</v>
      </c>
      <c r="K21" s="10">
        <f t="shared" si="87"/>
        <v>17410.68</v>
      </c>
      <c r="L21" s="10">
        <f t="shared" si="87"/>
        <v>3164.0400000000004</v>
      </c>
      <c r="M21" s="10">
        <f t="shared" ref="M21" si="88">4.7*12*M35</f>
        <v>32847.360000000001</v>
      </c>
      <c r="N21" s="25">
        <v>4.7</v>
      </c>
      <c r="O21" s="10">
        <f t="shared" ref="O21:Q21" si="89">4.7*12*O35</f>
        <v>29209.56</v>
      </c>
      <c r="P21" s="10">
        <f t="shared" si="89"/>
        <v>28741.440000000006</v>
      </c>
      <c r="Q21" s="10">
        <f t="shared" si="89"/>
        <v>28905.000000000004</v>
      </c>
      <c r="R21" s="10">
        <f t="shared" ref="R21:AO21" si="90">4.7*12*R35</f>
        <v>28938.840000000004</v>
      </c>
      <c r="S21" s="10">
        <f t="shared" si="90"/>
        <v>28374.840000000004</v>
      </c>
      <c r="T21" s="10">
        <f t="shared" si="90"/>
        <v>29356.200000000004</v>
      </c>
      <c r="U21" s="10">
        <f t="shared" si="90"/>
        <v>30602.640000000003</v>
      </c>
      <c r="V21" s="10">
        <f t="shared" si="90"/>
        <v>29553.600000000002</v>
      </c>
      <c r="W21" s="10">
        <f t="shared" si="90"/>
        <v>29779.200000000004</v>
      </c>
      <c r="X21" s="10">
        <f t="shared" si="90"/>
        <v>23293.200000000001</v>
      </c>
      <c r="Y21" s="10">
        <f t="shared" si="90"/>
        <v>29299.800000000003</v>
      </c>
      <c r="Z21" s="10">
        <f t="shared" si="90"/>
        <v>30100.680000000004</v>
      </c>
      <c r="AA21" s="10">
        <f t="shared" ref="AA21" si="91">4.7*12*AA35</f>
        <v>29446.440000000006</v>
      </c>
      <c r="AB21" s="10">
        <f t="shared" si="90"/>
        <v>29418.240000000005</v>
      </c>
      <c r="AC21" s="10">
        <f t="shared" si="90"/>
        <v>29175.72</v>
      </c>
      <c r="AD21" s="10">
        <f t="shared" si="90"/>
        <v>29480.280000000006</v>
      </c>
      <c r="AE21" s="10">
        <f t="shared" si="90"/>
        <v>29457.72</v>
      </c>
      <c r="AF21" s="10">
        <f t="shared" si="90"/>
        <v>18882.72</v>
      </c>
      <c r="AG21" s="10">
        <f t="shared" si="90"/>
        <v>18961.68</v>
      </c>
      <c r="AH21" s="10">
        <f t="shared" si="90"/>
        <v>3124.5600000000004</v>
      </c>
      <c r="AI21" s="10">
        <f t="shared" si="90"/>
        <v>29581.800000000003</v>
      </c>
      <c r="AJ21" s="10">
        <f t="shared" si="90"/>
        <v>29858.160000000003</v>
      </c>
      <c r="AK21" s="10">
        <f t="shared" si="90"/>
        <v>30856.440000000006</v>
      </c>
      <c r="AL21" s="10">
        <f t="shared" si="90"/>
        <v>28487.640000000003</v>
      </c>
      <c r="AM21" s="10">
        <f t="shared" si="90"/>
        <v>29457.72</v>
      </c>
      <c r="AN21" s="10">
        <f t="shared" si="90"/>
        <v>21059.760000000002</v>
      </c>
      <c r="AO21" s="10">
        <f t="shared" si="90"/>
        <v>32351.040000000005</v>
      </c>
      <c r="AP21" s="10">
        <f t="shared" ref="AP21" si="92">4.7*12*AP35</f>
        <v>29046.000000000004</v>
      </c>
      <c r="AQ21" s="50">
        <v>4.7</v>
      </c>
      <c r="AR21" s="10">
        <f>4.7*12*AR35</f>
        <v>30574.440000000006</v>
      </c>
      <c r="AS21" s="10">
        <f t="shared" ref="AS21" si="93">4.7*12*AS35</f>
        <v>30292.440000000006</v>
      </c>
      <c r="AT21" s="25">
        <v>0</v>
      </c>
      <c r="AU21" s="10">
        <f>0*12*AU35</f>
        <v>0</v>
      </c>
      <c r="AV21" s="10">
        <f t="shared" ref="AV21:AX21" si="94">0*12*AV35</f>
        <v>0</v>
      </c>
      <c r="AW21" s="10">
        <f t="shared" si="94"/>
        <v>0</v>
      </c>
      <c r="AX21" s="10">
        <f t="shared" si="94"/>
        <v>0</v>
      </c>
      <c r="AY21" s="10">
        <f>0*12*AY35</f>
        <v>0</v>
      </c>
      <c r="AZ21" s="10">
        <f t="shared" ref="AZ21:BB21" si="95">0*12*AZ35</f>
        <v>0</v>
      </c>
      <c r="BA21" s="10">
        <f t="shared" si="95"/>
        <v>0</v>
      </c>
      <c r="BB21" s="10">
        <f t="shared" si="95"/>
        <v>0</v>
      </c>
      <c r="BC21" s="10">
        <f>0*12*BC35</f>
        <v>0</v>
      </c>
      <c r="BD21" s="10">
        <f t="shared" ref="BD21:BF21" si="96">0*12*BD35</f>
        <v>0</v>
      </c>
      <c r="BE21" s="10">
        <f t="shared" si="96"/>
        <v>0</v>
      </c>
      <c r="BF21" s="10">
        <f t="shared" si="96"/>
        <v>0</v>
      </c>
      <c r="BG21" s="10">
        <f t="shared" ref="BG21:BH21" si="97">0*12*BG35</f>
        <v>0</v>
      </c>
      <c r="BH21" s="10">
        <f t="shared" si="97"/>
        <v>0</v>
      </c>
      <c r="BI21" s="10">
        <f t="shared" ref="BI21" si="98">0*12*BI35</f>
        <v>0</v>
      </c>
    </row>
    <row r="22" spans="1:61" s="1" customFormat="1" ht="13.5" customHeight="1">
      <c r="A22" s="92" t="s">
        <v>10</v>
      </c>
      <c r="B22" s="93"/>
      <c r="C22" s="93"/>
      <c r="D22" s="93"/>
      <c r="E22" s="93"/>
      <c r="F22" s="94"/>
      <c r="G22" s="26"/>
      <c r="H22" s="40">
        <f t="shared" ref="H22:L22" si="99">SUM(H23:H27)</f>
        <v>1.9</v>
      </c>
      <c r="I22" s="11">
        <f t="shared" si="99"/>
        <v>14238.6</v>
      </c>
      <c r="J22" s="11">
        <f t="shared" si="99"/>
        <v>14592</v>
      </c>
      <c r="K22" s="11">
        <f t="shared" si="99"/>
        <v>7038.36</v>
      </c>
      <c r="L22" s="11">
        <f t="shared" si="99"/>
        <v>1279.08</v>
      </c>
      <c r="M22" s="11">
        <f t="shared" ref="M22" si="100">SUM(M23:M27)</f>
        <v>13278.72</v>
      </c>
      <c r="N22" s="26">
        <v>3.23</v>
      </c>
      <c r="O22" s="11">
        <f t="shared" ref="O22:Q22" si="101">SUM(O23:O27)</f>
        <v>20073.803999999996</v>
      </c>
      <c r="P22" s="11">
        <f t="shared" si="101"/>
        <v>19752.096000000001</v>
      </c>
      <c r="Q22" s="11">
        <f t="shared" si="101"/>
        <v>19864.5</v>
      </c>
      <c r="R22" s="11">
        <f t="shared" ref="R22:AO22" si="102">SUM(R23:R27)</f>
        <v>19887.756000000001</v>
      </c>
      <c r="S22" s="11">
        <f t="shared" si="102"/>
        <v>19500.156000000003</v>
      </c>
      <c r="T22" s="11">
        <f t="shared" si="102"/>
        <v>20174.580000000002</v>
      </c>
      <c r="U22" s="11">
        <f t="shared" si="102"/>
        <v>21031.175999999999</v>
      </c>
      <c r="V22" s="11">
        <f t="shared" si="102"/>
        <v>20310.239999999998</v>
      </c>
      <c r="W22" s="11">
        <f t="shared" si="102"/>
        <v>20465.28</v>
      </c>
      <c r="X22" s="11">
        <f t="shared" si="102"/>
        <v>16007.880000000001</v>
      </c>
      <c r="Y22" s="11">
        <f t="shared" si="102"/>
        <v>20135.82</v>
      </c>
      <c r="Z22" s="11">
        <f t="shared" si="102"/>
        <v>20686.212</v>
      </c>
      <c r="AA22" s="11">
        <f t="shared" ref="AA22" si="103">SUM(AA23:AA27)</f>
        <v>20236.596000000001</v>
      </c>
      <c r="AB22" s="11">
        <f t="shared" si="102"/>
        <v>20217.216</v>
      </c>
      <c r="AC22" s="11">
        <f t="shared" si="102"/>
        <v>20050.547999999999</v>
      </c>
      <c r="AD22" s="11">
        <f t="shared" si="102"/>
        <v>20259.851999999999</v>
      </c>
      <c r="AE22" s="11">
        <f t="shared" si="102"/>
        <v>20244.347999999998</v>
      </c>
      <c r="AF22" s="11">
        <f t="shared" si="102"/>
        <v>12976.848000000002</v>
      </c>
      <c r="AG22" s="11">
        <f t="shared" si="102"/>
        <v>13031.111999999999</v>
      </c>
      <c r="AH22" s="11">
        <f t="shared" si="102"/>
        <v>2147.3040000000001</v>
      </c>
      <c r="AI22" s="11">
        <f t="shared" si="102"/>
        <v>20329.62</v>
      </c>
      <c r="AJ22" s="11">
        <f t="shared" si="102"/>
        <v>20519.543999999998</v>
      </c>
      <c r="AK22" s="11">
        <f t="shared" si="102"/>
        <v>21205.596000000001</v>
      </c>
      <c r="AL22" s="11">
        <f t="shared" si="102"/>
        <v>19577.675999999999</v>
      </c>
      <c r="AM22" s="11">
        <f t="shared" si="102"/>
        <v>20244.347999999998</v>
      </c>
      <c r="AN22" s="11">
        <f t="shared" si="102"/>
        <v>14472.984</v>
      </c>
      <c r="AO22" s="11">
        <f t="shared" si="102"/>
        <v>22232.736000000001</v>
      </c>
      <c r="AP22" s="11">
        <f t="shared" ref="AP22" si="104">SUM(AP23:AP27)</f>
        <v>19961.400000000001</v>
      </c>
      <c r="AQ22" s="51">
        <f>AQ23+AQ24+AQ25+AQ26+AQ27</f>
        <v>1.05</v>
      </c>
      <c r="AR22" s="11">
        <f t="shared" ref="AR22:AS22" si="105">SUM(AR23:AR27)</f>
        <v>6830.4600000000009</v>
      </c>
      <c r="AS22" s="11">
        <f t="shared" si="105"/>
        <v>6767.4600000000009</v>
      </c>
      <c r="AT22" s="26">
        <f t="shared" ref="AT22:AX22" si="106">SUM(AT23:AT27)</f>
        <v>1.94</v>
      </c>
      <c r="AU22" s="11">
        <f t="shared" si="106"/>
        <v>14307.888000000001</v>
      </c>
      <c r="AV22" s="11">
        <f t="shared" si="106"/>
        <v>9635.5919999999987</v>
      </c>
      <c r="AW22" s="11">
        <f t="shared" si="106"/>
        <v>17841.792000000001</v>
      </c>
      <c r="AX22" s="11">
        <f t="shared" si="106"/>
        <v>10820.544000000002</v>
      </c>
      <c r="AY22" s="11">
        <f t="shared" ref="AY22:BF22" si="107">SUM(AY23:AY27)</f>
        <v>11907.720000000001</v>
      </c>
      <c r="AZ22" s="11">
        <f t="shared" si="107"/>
        <v>11986.871999999999</v>
      </c>
      <c r="BA22" s="11">
        <f t="shared" si="107"/>
        <v>9579.7200000000012</v>
      </c>
      <c r="BB22" s="11">
        <f t="shared" si="107"/>
        <v>9454.0080000000016</v>
      </c>
      <c r="BC22" s="11">
        <f t="shared" si="107"/>
        <v>9626.2799999999988</v>
      </c>
      <c r="BD22" s="11">
        <f t="shared" si="107"/>
        <v>9584.3760000000002</v>
      </c>
      <c r="BE22" s="11">
        <f t="shared" si="107"/>
        <v>25845.456000000002</v>
      </c>
      <c r="BF22" s="11">
        <f t="shared" si="107"/>
        <v>25996.776000000002</v>
      </c>
      <c r="BG22" s="11">
        <f t="shared" ref="BG22:BH22" si="108">SUM(BG23:BG27)</f>
        <v>16652.183999999997</v>
      </c>
      <c r="BH22" s="11">
        <f t="shared" si="108"/>
        <v>11965.92</v>
      </c>
      <c r="BI22" s="11">
        <f t="shared" ref="BI22" si="109">SUM(BI23:BI27)</f>
        <v>17257.464</v>
      </c>
    </row>
    <row r="23" spans="1:61" s="1" customFormat="1">
      <c r="A23" s="83" t="s">
        <v>38</v>
      </c>
      <c r="B23" s="84"/>
      <c r="C23" s="84"/>
      <c r="D23" s="84"/>
      <c r="E23" s="84"/>
      <c r="F23" s="84"/>
      <c r="G23" s="25" t="s">
        <v>4</v>
      </c>
      <c r="H23" s="39">
        <v>1.02</v>
      </c>
      <c r="I23" s="10">
        <f>1.02*12*I35</f>
        <v>7643.88</v>
      </c>
      <c r="J23" s="10">
        <f t="shared" ref="J23:L23" si="110">1.02*12*J35</f>
        <v>7833.6</v>
      </c>
      <c r="K23" s="10">
        <f t="shared" si="110"/>
        <v>3778.4879999999998</v>
      </c>
      <c r="L23" s="10">
        <f t="shared" si="110"/>
        <v>686.66399999999999</v>
      </c>
      <c r="M23" s="10">
        <f t="shared" ref="M23" si="111">1.02*12*M35</f>
        <v>7128.576</v>
      </c>
      <c r="N23" s="25">
        <v>1.02</v>
      </c>
      <c r="O23" s="10">
        <f t="shared" ref="O23:Q23" si="112">1.02*12*O35</f>
        <v>6339.0959999999995</v>
      </c>
      <c r="P23" s="10">
        <f t="shared" si="112"/>
        <v>6237.5040000000008</v>
      </c>
      <c r="Q23" s="10">
        <f t="shared" si="112"/>
        <v>6273</v>
      </c>
      <c r="R23" s="10">
        <f t="shared" ref="R23:AO23" si="113">1.02*12*R35</f>
        <v>6280.3440000000001</v>
      </c>
      <c r="S23" s="10">
        <f t="shared" si="113"/>
        <v>6157.9440000000004</v>
      </c>
      <c r="T23" s="10">
        <f t="shared" si="113"/>
        <v>6370.92</v>
      </c>
      <c r="U23" s="10">
        <f t="shared" si="113"/>
        <v>6641.424</v>
      </c>
      <c r="V23" s="10">
        <f t="shared" si="113"/>
        <v>6413.76</v>
      </c>
      <c r="W23" s="10">
        <f t="shared" si="113"/>
        <v>6462.72</v>
      </c>
      <c r="X23" s="10">
        <f t="shared" si="113"/>
        <v>5055.12</v>
      </c>
      <c r="Y23" s="10">
        <f t="shared" si="113"/>
        <v>6358.68</v>
      </c>
      <c r="Z23" s="10">
        <f t="shared" si="113"/>
        <v>6532.4880000000003</v>
      </c>
      <c r="AA23" s="10">
        <f t="shared" ref="AA23" si="114">1.02*12*AA35</f>
        <v>6390.5040000000008</v>
      </c>
      <c r="AB23" s="10">
        <f t="shared" si="113"/>
        <v>6384.384</v>
      </c>
      <c r="AC23" s="10">
        <f t="shared" si="113"/>
        <v>6331.7519999999995</v>
      </c>
      <c r="AD23" s="10">
        <f t="shared" si="113"/>
        <v>6397.8480000000009</v>
      </c>
      <c r="AE23" s="10">
        <f t="shared" si="113"/>
        <v>6392.9519999999993</v>
      </c>
      <c r="AF23" s="10">
        <f t="shared" si="113"/>
        <v>4097.9520000000002</v>
      </c>
      <c r="AG23" s="10">
        <f t="shared" si="113"/>
        <v>4115.0879999999997</v>
      </c>
      <c r="AH23" s="10">
        <f t="shared" si="113"/>
        <v>678.096</v>
      </c>
      <c r="AI23" s="10">
        <f t="shared" si="113"/>
        <v>6419.88</v>
      </c>
      <c r="AJ23" s="10">
        <f t="shared" si="113"/>
        <v>6479.8559999999998</v>
      </c>
      <c r="AK23" s="10">
        <f t="shared" si="113"/>
        <v>6696.5040000000008</v>
      </c>
      <c r="AL23" s="10">
        <f t="shared" si="113"/>
        <v>6182.424</v>
      </c>
      <c r="AM23" s="10">
        <f t="shared" si="113"/>
        <v>6392.9519999999993</v>
      </c>
      <c r="AN23" s="10">
        <f t="shared" si="113"/>
        <v>4570.4160000000002</v>
      </c>
      <c r="AO23" s="10">
        <f t="shared" si="113"/>
        <v>7020.8640000000005</v>
      </c>
      <c r="AP23" s="10">
        <f t="shared" ref="AP23" si="115">1.02*12*AP35</f>
        <v>6303.6</v>
      </c>
      <c r="AQ23" s="50">
        <v>0.51</v>
      </c>
      <c r="AR23" s="10">
        <f>0.51*12*AR35</f>
        <v>3317.652</v>
      </c>
      <c r="AS23" s="10">
        <f t="shared" ref="AS23" si="116">0.51*12*AS35</f>
        <v>3287.0520000000001</v>
      </c>
      <c r="AT23" s="25">
        <v>1.02</v>
      </c>
      <c r="AU23" s="10">
        <f>1.02*12*AU35</f>
        <v>7522.7040000000006</v>
      </c>
      <c r="AV23" s="10">
        <f t="shared" ref="AV23:AX23" si="117">1.02*12*AV35</f>
        <v>5066.1359999999995</v>
      </c>
      <c r="AW23" s="10">
        <f t="shared" si="117"/>
        <v>9380.7360000000008</v>
      </c>
      <c r="AX23" s="10">
        <f t="shared" si="117"/>
        <v>5689.152</v>
      </c>
      <c r="AY23" s="10">
        <f>1.02*12*AY35</f>
        <v>6260.76</v>
      </c>
      <c r="AZ23" s="10">
        <f t="shared" ref="AZ23:BB23" si="118">1.02*12*AZ35</f>
        <v>6302.3760000000002</v>
      </c>
      <c r="BA23" s="10">
        <f t="shared" si="118"/>
        <v>5036.76</v>
      </c>
      <c r="BB23" s="10">
        <f t="shared" si="118"/>
        <v>4970.6640000000007</v>
      </c>
      <c r="BC23" s="10">
        <f>1.02*12*BC35</f>
        <v>5061.24</v>
      </c>
      <c r="BD23" s="10">
        <f t="shared" ref="BD23:BF23" si="119">1.02*12*BD35</f>
        <v>5039.2079999999996</v>
      </c>
      <c r="BE23" s="10">
        <f t="shared" si="119"/>
        <v>13588.848</v>
      </c>
      <c r="BF23" s="10">
        <f t="shared" si="119"/>
        <v>13668.408000000001</v>
      </c>
      <c r="BG23" s="10">
        <f t="shared" ref="BG23:BH23" si="120">1.02*12*BG35</f>
        <v>8755.271999999999</v>
      </c>
      <c r="BH23" s="10">
        <f t="shared" si="120"/>
        <v>6291.36</v>
      </c>
      <c r="BI23" s="10">
        <f t="shared" ref="BI23" si="121">1.02*12*BI35</f>
        <v>9073.5119999999988</v>
      </c>
    </row>
    <row r="24" spans="1:61" s="1" customFormat="1" ht="25.5" customHeight="1">
      <c r="A24" s="83" t="s">
        <v>28</v>
      </c>
      <c r="B24" s="84"/>
      <c r="C24" s="84"/>
      <c r="D24" s="84"/>
      <c r="E24" s="84"/>
      <c r="F24" s="84"/>
      <c r="G24" s="25" t="s">
        <v>3</v>
      </c>
      <c r="H24" s="39">
        <v>0</v>
      </c>
      <c r="I24" s="10">
        <f t="shared" ref="I24:L24" si="122">0*12*I35</f>
        <v>0</v>
      </c>
      <c r="J24" s="10">
        <f t="shared" si="122"/>
        <v>0</v>
      </c>
      <c r="K24" s="10">
        <f t="shared" si="122"/>
        <v>0</v>
      </c>
      <c r="L24" s="10">
        <f t="shared" si="122"/>
        <v>0</v>
      </c>
      <c r="M24" s="10">
        <f t="shared" ref="M24" si="123">0*12*M35</f>
        <v>0</v>
      </c>
      <c r="N24" s="25">
        <v>0</v>
      </c>
      <c r="O24" s="10">
        <f t="shared" ref="O24:Q24" si="124">0*12*O35</f>
        <v>0</v>
      </c>
      <c r="P24" s="10">
        <f t="shared" si="124"/>
        <v>0</v>
      </c>
      <c r="Q24" s="10">
        <f t="shared" si="124"/>
        <v>0</v>
      </c>
      <c r="R24" s="10">
        <f t="shared" ref="R24:AO24" si="125">0*12*R35</f>
        <v>0</v>
      </c>
      <c r="S24" s="10">
        <f t="shared" si="125"/>
        <v>0</v>
      </c>
      <c r="T24" s="10">
        <f t="shared" si="125"/>
        <v>0</v>
      </c>
      <c r="U24" s="10">
        <f t="shared" si="125"/>
        <v>0</v>
      </c>
      <c r="V24" s="10">
        <f t="shared" si="125"/>
        <v>0</v>
      </c>
      <c r="W24" s="10">
        <f t="shared" si="125"/>
        <v>0</v>
      </c>
      <c r="X24" s="10">
        <f t="shared" si="125"/>
        <v>0</v>
      </c>
      <c r="Y24" s="10">
        <f t="shared" si="125"/>
        <v>0</v>
      </c>
      <c r="Z24" s="10">
        <f t="shared" si="125"/>
        <v>0</v>
      </c>
      <c r="AA24" s="10">
        <f t="shared" ref="AA24" si="126">0*12*AA35</f>
        <v>0</v>
      </c>
      <c r="AB24" s="10">
        <f t="shared" si="125"/>
        <v>0</v>
      </c>
      <c r="AC24" s="10">
        <f t="shared" si="125"/>
        <v>0</v>
      </c>
      <c r="AD24" s="10">
        <f t="shared" si="125"/>
        <v>0</v>
      </c>
      <c r="AE24" s="10">
        <f t="shared" si="125"/>
        <v>0</v>
      </c>
      <c r="AF24" s="10">
        <f t="shared" si="125"/>
        <v>0</v>
      </c>
      <c r="AG24" s="10">
        <f t="shared" si="125"/>
        <v>0</v>
      </c>
      <c r="AH24" s="10">
        <f t="shared" si="125"/>
        <v>0</v>
      </c>
      <c r="AI24" s="10">
        <f t="shared" si="125"/>
        <v>0</v>
      </c>
      <c r="AJ24" s="10">
        <f t="shared" si="125"/>
        <v>0</v>
      </c>
      <c r="AK24" s="10">
        <f t="shared" si="125"/>
        <v>0</v>
      </c>
      <c r="AL24" s="10">
        <f t="shared" si="125"/>
        <v>0</v>
      </c>
      <c r="AM24" s="10">
        <f t="shared" si="125"/>
        <v>0</v>
      </c>
      <c r="AN24" s="10">
        <f t="shared" si="125"/>
        <v>0</v>
      </c>
      <c r="AO24" s="10">
        <f t="shared" si="125"/>
        <v>0</v>
      </c>
      <c r="AP24" s="10">
        <f t="shared" ref="AP24" si="127">0*12*AP35</f>
        <v>0</v>
      </c>
      <c r="AQ24" s="50">
        <v>0</v>
      </c>
      <c r="AR24" s="10">
        <f t="shared" ref="AR24:AS24" si="128">0*12*AR35</f>
        <v>0</v>
      </c>
      <c r="AS24" s="10">
        <f t="shared" si="128"/>
        <v>0</v>
      </c>
      <c r="AT24" s="25">
        <v>0</v>
      </c>
      <c r="AU24" s="10">
        <f>0*1242*AU35</f>
        <v>0</v>
      </c>
      <c r="AV24" s="10">
        <f t="shared" ref="AV24:AX24" si="129">0*1242*AV35</f>
        <v>0</v>
      </c>
      <c r="AW24" s="10">
        <f t="shared" si="129"/>
        <v>0</v>
      </c>
      <c r="AX24" s="10">
        <f t="shared" si="129"/>
        <v>0</v>
      </c>
      <c r="AY24" s="10">
        <f>0*1242*AY35</f>
        <v>0</v>
      </c>
      <c r="AZ24" s="10">
        <f t="shared" ref="AZ24:BB24" si="130">0*1242*AZ35</f>
        <v>0</v>
      </c>
      <c r="BA24" s="10">
        <f t="shared" si="130"/>
        <v>0</v>
      </c>
      <c r="BB24" s="10">
        <f t="shared" si="130"/>
        <v>0</v>
      </c>
      <c r="BC24" s="10">
        <f>0*1242*BC35</f>
        <v>0</v>
      </c>
      <c r="BD24" s="10">
        <f t="shared" ref="BD24:BF24" si="131">0*1242*BD35</f>
        <v>0</v>
      </c>
      <c r="BE24" s="10">
        <f t="shared" si="131"/>
        <v>0</v>
      </c>
      <c r="BF24" s="10">
        <f t="shared" si="131"/>
        <v>0</v>
      </c>
      <c r="BG24" s="10">
        <f t="shared" ref="BG24:BH24" si="132">0*1242*BG35</f>
        <v>0</v>
      </c>
      <c r="BH24" s="10">
        <f t="shared" si="132"/>
        <v>0</v>
      </c>
      <c r="BI24" s="10">
        <f t="shared" ref="BI24" si="133">0*1242*BI35</f>
        <v>0</v>
      </c>
    </row>
    <row r="25" spans="1:61" s="1" customFormat="1" ht="25.5" customHeight="1">
      <c r="A25" s="83" t="s">
        <v>29</v>
      </c>
      <c r="B25" s="83"/>
      <c r="C25" s="83"/>
      <c r="D25" s="83"/>
      <c r="E25" s="83"/>
      <c r="F25" s="83"/>
      <c r="G25" s="25" t="s">
        <v>8</v>
      </c>
      <c r="H25" s="39">
        <v>0</v>
      </c>
      <c r="I25" s="10">
        <f t="shared" ref="I25:L25" si="134">0*12*I35</f>
        <v>0</v>
      </c>
      <c r="J25" s="10">
        <f t="shared" si="134"/>
        <v>0</v>
      </c>
      <c r="K25" s="10">
        <f t="shared" si="134"/>
        <v>0</v>
      </c>
      <c r="L25" s="10">
        <f t="shared" si="134"/>
        <v>0</v>
      </c>
      <c r="M25" s="10">
        <f t="shared" ref="M25" si="135">0*12*M35</f>
        <v>0</v>
      </c>
      <c r="N25" s="25">
        <v>0</v>
      </c>
      <c r="O25" s="10">
        <f t="shared" ref="O25:Q25" si="136">0*12*O35</f>
        <v>0</v>
      </c>
      <c r="P25" s="10">
        <f t="shared" si="136"/>
        <v>0</v>
      </c>
      <c r="Q25" s="10">
        <f t="shared" si="136"/>
        <v>0</v>
      </c>
      <c r="R25" s="10">
        <f t="shared" ref="R25:AO25" si="137">0*12*R35</f>
        <v>0</v>
      </c>
      <c r="S25" s="10">
        <f t="shared" si="137"/>
        <v>0</v>
      </c>
      <c r="T25" s="10">
        <f t="shared" si="137"/>
        <v>0</v>
      </c>
      <c r="U25" s="10">
        <f t="shared" si="137"/>
        <v>0</v>
      </c>
      <c r="V25" s="10">
        <f t="shared" si="137"/>
        <v>0</v>
      </c>
      <c r="W25" s="10">
        <f t="shared" si="137"/>
        <v>0</v>
      </c>
      <c r="X25" s="10">
        <f t="shared" si="137"/>
        <v>0</v>
      </c>
      <c r="Y25" s="10">
        <f t="shared" si="137"/>
        <v>0</v>
      </c>
      <c r="Z25" s="10">
        <f t="shared" si="137"/>
        <v>0</v>
      </c>
      <c r="AA25" s="10">
        <f t="shared" ref="AA25" si="138">0*12*AA35</f>
        <v>0</v>
      </c>
      <c r="AB25" s="10">
        <f t="shared" si="137"/>
        <v>0</v>
      </c>
      <c r="AC25" s="10">
        <f t="shared" si="137"/>
        <v>0</v>
      </c>
      <c r="AD25" s="10">
        <f t="shared" si="137"/>
        <v>0</v>
      </c>
      <c r="AE25" s="10">
        <f t="shared" si="137"/>
        <v>0</v>
      </c>
      <c r="AF25" s="10">
        <f t="shared" si="137"/>
        <v>0</v>
      </c>
      <c r="AG25" s="10">
        <f t="shared" si="137"/>
        <v>0</v>
      </c>
      <c r="AH25" s="10">
        <f t="shared" si="137"/>
        <v>0</v>
      </c>
      <c r="AI25" s="10">
        <f t="shared" si="137"/>
        <v>0</v>
      </c>
      <c r="AJ25" s="10">
        <f t="shared" si="137"/>
        <v>0</v>
      </c>
      <c r="AK25" s="10">
        <f t="shared" si="137"/>
        <v>0</v>
      </c>
      <c r="AL25" s="10">
        <f t="shared" si="137"/>
        <v>0</v>
      </c>
      <c r="AM25" s="10">
        <f t="shared" si="137"/>
        <v>0</v>
      </c>
      <c r="AN25" s="10">
        <f t="shared" si="137"/>
        <v>0</v>
      </c>
      <c r="AO25" s="10">
        <f t="shared" si="137"/>
        <v>0</v>
      </c>
      <c r="AP25" s="10">
        <f t="shared" ref="AP25" si="139">0*12*AP35</f>
        <v>0</v>
      </c>
      <c r="AQ25" s="50">
        <v>0</v>
      </c>
      <c r="AR25" s="10">
        <f t="shared" ref="AR25:AS25" si="140">0*12*AR35</f>
        <v>0</v>
      </c>
      <c r="AS25" s="10">
        <f t="shared" si="140"/>
        <v>0</v>
      </c>
      <c r="AT25" s="25">
        <v>0</v>
      </c>
      <c r="AU25" s="10">
        <f>0*12*AU35</f>
        <v>0</v>
      </c>
      <c r="AV25" s="10">
        <f t="shared" ref="AV25:AX25" si="141">0*12*AV35</f>
        <v>0</v>
      </c>
      <c r="AW25" s="10">
        <f t="shared" si="141"/>
        <v>0</v>
      </c>
      <c r="AX25" s="10">
        <f t="shared" si="141"/>
        <v>0</v>
      </c>
      <c r="AY25" s="10">
        <f>0*12*AY35</f>
        <v>0</v>
      </c>
      <c r="AZ25" s="10">
        <f t="shared" ref="AZ25:BB25" si="142">0*12*AZ35</f>
        <v>0</v>
      </c>
      <c r="BA25" s="10">
        <f t="shared" si="142"/>
        <v>0</v>
      </c>
      <c r="BB25" s="10">
        <f t="shared" si="142"/>
        <v>0</v>
      </c>
      <c r="BC25" s="10">
        <f>0*12*BC35</f>
        <v>0</v>
      </c>
      <c r="BD25" s="10">
        <f t="shared" ref="BD25:BF25" si="143">0*12*BD35</f>
        <v>0</v>
      </c>
      <c r="BE25" s="10">
        <f t="shared" si="143"/>
        <v>0</v>
      </c>
      <c r="BF25" s="10">
        <f t="shared" si="143"/>
        <v>0</v>
      </c>
      <c r="BG25" s="10">
        <f t="shared" ref="BG25:BH25" si="144">0*12*BG35</f>
        <v>0</v>
      </c>
      <c r="BH25" s="10">
        <f t="shared" si="144"/>
        <v>0</v>
      </c>
      <c r="BI25" s="10">
        <f t="shared" ref="BI25" si="145">0*12*BI35</f>
        <v>0</v>
      </c>
    </row>
    <row r="26" spans="1:61" s="1" customFormat="1" ht="57" customHeight="1">
      <c r="A26" s="83" t="s">
        <v>30</v>
      </c>
      <c r="B26" s="83"/>
      <c r="C26" s="83"/>
      <c r="D26" s="83"/>
      <c r="E26" s="83"/>
      <c r="F26" s="83"/>
      <c r="G26" s="27" t="s">
        <v>9</v>
      </c>
      <c r="H26" s="39">
        <v>0.04</v>
      </c>
      <c r="I26" s="10">
        <f t="shared" ref="I26:L26" si="146">0.04*12*I35</f>
        <v>299.76</v>
      </c>
      <c r="J26" s="10">
        <f t="shared" si="146"/>
        <v>307.2</v>
      </c>
      <c r="K26" s="10">
        <f t="shared" si="146"/>
        <v>148.17599999999999</v>
      </c>
      <c r="L26" s="10">
        <f t="shared" si="146"/>
        <v>26.928000000000001</v>
      </c>
      <c r="M26" s="10">
        <f t="shared" ref="M26" si="147">0.04*12*M35</f>
        <v>279.55199999999996</v>
      </c>
      <c r="N26" s="25">
        <v>0.04</v>
      </c>
      <c r="O26" s="10">
        <f t="shared" ref="O26:Q26" si="148">0.04*12*O35</f>
        <v>248.59199999999998</v>
      </c>
      <c r="P26" s="10">
        <f t="shared" si="148"/>
        <v>244.608</v>
      </c>
      <c r="Q26" s="10">
        <f t="shared" si="148"/>
        <v>246</v>
      </c>
      <c r="R26" s="10">
        <f t="shared" ref="R26:AO26" si="149">0.04*12*R35</f>
        <v>246.28800000000001</v>
      </c>
      <c r="S26" s="10">
        <f t="shared" si="149"/>
        <v>241.488</v>
      </c>
      <c r="T26" s="10">
        <f t="shared" si="149"/>
        <v>249.84</v>
      </c>
      <c r="U26" s="10">
        <f t="shared" si="149"/>
        <v>260.44799999999998</v>
      </c>
      <c r="V26" s="10">
        <f t="shared" si="149"/>
        <v>251.51999999999998</v>
      </c>
      <c r="W26" s="10">
        <f t="shared" si="149"/>
        <v>253.44</v>
      </c>
      <c r="X26" s="10">
        <f t="shared" si="149"/>
        <v>198.23999999999998</v>
      </c>
      <c r="Y26" s="10">
        <f t="shared" si="149"/>
        <v>249.35999999999999</v>
      </c>
      <c r="Z26" s="10">
        <f t="shared" si="149"/>
        <v>256.17599999999999</v>
      </c>
      <c r="AA26" s="10">
        <f t="shared" ref="AA26" si="150">0.04*12*AA35</f>
        <v>250.608</v>
      </c>
      <c r="AB26" s="10">
        <f t="shared" si="149"/>
        <v>250.36799999999999</v>
      </c>
      <c r="AC26" s="10">
        <f t="shared" si="149"/>
        <v>248.30399999999997</v>
      </c>
      <c r="AD26" s="10">
        <f t="shared" si="149"/>
        <v>250.89600000000002</v>
      </c>
      <c r="AE26" s="10">
        <f t="shared" si="149"/>
        <v>250.70399999999998</v>
      </c>
      <c r="AF26" s="10">
        <f t="shared" si="149"/>
        <v>160.70400000000001</v>
      </c>
      <c r="AG26" s="10">
        <f t="shared" si="149"/>
        <v>161.37599999999998</v>
      </c>
      <c r="AH26" s="10">
        <f t="shared" si="149"/>
        <v>26.591999999999999</v>
      </c>
      <c r="AI26" s="10">
        <f t="shared" si="149"/>
        <v>251.76</v>
      </c>
      <c r="AJ26" s="10">
        <f t="shared" si="149"/>
        <v>254.11199999999997</v>
      </c>
      <c r="AK26" s="10">
        <f t="shared" si="149"/>
        <v>262.608</v>
      </c>
      <c r="AL26" s="10">
        <f t="shared" si="149"/>
        <v>242.44800000000001</v>
      </c>
      <c r="AM26" s="10">
        <f t="shared" si="149"/>
        <v>250.70399999999998</v>
      </c>
      <c r="AN26" s="10">
        <f t="shared" si="149"/>
        <v>179.23199999999997</v>
      </c>
      <c r="AO26" s="10">
        <f t="shared" si="149"/>
        <v>275.32799999999997</v>
      </c>
      <c r="AP26" s="10">
        <f t="shared" ref="AP26" si="151">0.04*12*AP35</f>
        <v>247.2</v>
      </c>
      <c r="AQ26" s="50">
        <v>0.04</v>
      </c>
      <c r="AR26" s="10">
        <f t="shared" ref="AR26:AS26" si="152">0.04*12*AR35</f>
        <v>260.20800000000003</v>
      </c>
      <c r="AS26" s="10">
        <f t="shared" si="152"/>
        <v>257.80799999999999</v>
      </c>
      <c r="AT26" s="25">
        <f>0.03+0.01</f>
        <v>0.04</v>
      </c>
      <c r="AU26" s="10">
        <f>0.04*12*AU35</f>
        <v>295.00799999999998</v>
      </c>
      <c r="AV26" s="10">
        <f t="shared" ref="AV26:AX26" si="153">0.04*12*AV35</f>
        <v>198.67199999999997</v>
      </c>
      <c r="AW26" s="10">
        <f t="shared" si="153"/>
        <v>367.87199999999996</v>
      </c>
      <c r="AX26" s="10">
        <f t="shared" si="153"/>
        <v>223.10399999999998</v>
      </c>
      <c r="AY26" s="10">
        <f>0.04*12*AY35</f>
        <v>245.51999999999998</v>
      </c>
      <c r="AZ26" s="10">
        <f t="shared" ref="AZ26:BB26" si="154">0.04*12*AZ35</f>
        <v>247.15199999999999</v>
      </c>
      <c r="BA26" s="10">
        <f t="shared" si="154"/>
        <v>197.51999999999998</v>
      </c>
      <c r="BB26" s="10">
        <f t="shared" si="154"/>
        <v>194.928</v>
      </c>
      <c r="BC26" s="10">
        <f>0.04*12*BC35</f>
        <v>198.48</v>
      </c>
      <c r="BD26" s="10">
        <f t="shared" ref="BD26:BF26" si="155">0.04*12*BD35</f>
        <v>197.61599999999999</v>
      </c>
      <c r="BE26" s="10">
        <f t="shared" si="155"/>
        <v>532.89599999999996</v>
      </c>
      <c r="BF26" s="10">
        <f t="shared" si="155"/>
        <v>536.01599999999996</v>
      </c>
      <c r="BG26" s="10">
        <f t="shared" ref="BG26:BH26" si="156">0.04*12*BG35</f>
        <v>343.34399999999994</v>
      </c>
      <c r="BH26" s="10">
        <f t="shared" si="156"/>
        <v>246.72</v>
      </c>
      <c r="BI26" s="10">
        <f t="shared" ref="BI26" si="157">0.04*12*BI35</f>
        <v>355.82399999999996</v>
      </c>
    </row>
    <row r="27" spans="1:61" s="1" customFormat="1" ht="85.5" customHeight="1">
      <c r="A27" s="83" t="s">
        <v>47</v>
      </c>
      <c r="B27" s="83"/>
      <c r="C27" s="83"/>
      <c r="D27" s="83"/>
      <c r="E27" s="83"/>
      <c r="F27" s="83"/>
      <c r="G27" s="25" t="s">
        <v>8</v>
      </c>
      <c r="H27" s="39">
        <f>0.31+0.16+0.37</f>
        <v>0.84</v>
      </c>
      <c r="I27" s="10">
        <f>0.84*12*I35</f>
        <v>6294.96</v>
      </c>
      <c r="J27" s="10">
        <f t="shared" ref="J27:L27" si="158">0.84*12*J35</f>
        <v>6451.2</v>
      </c>
      <c r="K27" s="10">
        <f t="shared" si="158"/>
        <v>3111.6959999999999</v>
      </c>
      <c r="L27" s="10">
        <f t="shared" si="158"/>
        <v>565.48800000000006</v>
      </c>
      <c r="M27" s="10">
        <f t="shared" ref="M27" si="159">0.84*12*M35</f>
        <v>5870.5919999999996</v>
      </c>
      <c r="N27" s="25">
        <v>2.17</v>
      </c>
      <c r="O27" s="10">
        <f t="shared" ref="O27:Q27" si="160">2.17*12*O35</f>
        <v>13486.115999999998</v>
      </c>
      <c r="P27" s="10">
        <f t="shared" si="160"/>
        <v>13269.984</v>
      </c>
      <c r="Q27" s="10">
        <f t="shared" si="160"/>
        <v>13345.5</v>
      </c>
      <c r="R27" s="10">
        <f t="shared" ref="R27:AO27" si="161">2.17*12*R35</f>
        <v>13361.124</v>
      </c>
      <c r="S27" s="10">
        <f t="shared" si="161"/>
        <v>13100.724</v>
      </c>
      <c r="T27" s="10">
        <f t="shared" si="161"/>
        <v>13553.82</v>
      </c>
      <c r="U27" s="10">
        <f t="shared" si="161"/>
        <v>14129.304</v>
      </c>
      <c r="V27" s="10">
        <f t="shared" si="161"/>
        <v>13644.96</v>
      </c>
      <c r="W27" s="10">
        <f t="shared" si="161"/>
        <v>13749.119999999999</v>
      </c>
      <c r="X27" s="10">
        <f t="shared" si="161"/>
        <v>10754.52</v>
      </c>
      <c r="Y27" s="10">
        <f t="shared" si="161"/>
        <v>13527.779999999999</v>
      </c>
      <c r="Z27" s="10">
        <f t="shared" si="161"/>
        <v>13897.548000000001</v>
      </c>
      <c r="AA27" s="10">
        <f t="shared" ref="AA27" si="162">2.17*12*AA35</f>
        <v>13595.484</v>
      </c>
      <c r="AB27" s="10">
        <f t="shared" si="161"/>
        <v>13582.464</v>
      </c>
      <c r="AC27" s="10">
        <f t="shared" si="161"/>
        <v>13470.491999999998</v>
      </c>
      <c r="AD27" s="10">
        <f t="shared" si="161"/>
        <v>13611.108</v>
      </c>
      <c r="AE27" s="10">
        <f t="shared" si="161"/>
        <v>13600.691999999999</v>
      </c>
      <c r="AF27" s="10">
        <f t="shared" si="161"/>
        <v>8718.1920000000009</v>
      </c>
      <c r="AG27" s="10">
        <f t="shared" si="161"/>
        <v>8754.6479999999992</v>
      </c>
      <c r="AH27" s="10">
        <f t="shared" si="161"/>
        <v>1442.616</v>
      </c>
      <c r="AI27" s="10">
        <f t="shared" si="161"/>
        <v>13657.98</v>
      </c>
      <c r="AJ27" s="10">
        <f t="shared" si="161"/>
        <v>13785.575999999999</v>
      </c>
      <c r="AK27" s="10">
        <f t="shared" si="161"/>
        <v>14246.484</v>
      </c>
      <c r="AL27" s="10">
        <f t="shared" si="161"/>
        <v>13152.804</v>
      </c>
      <c r="AM27" s="10">
        <f t="shared" si="161"/>
        <v>13600.691999999999</v>
      </c>
      <c r="AN27" s="10">
        <f t="shared" si="161"/>
        <v>9723.3359999999993</v>
      </c>
      <c r="AO27" s="10">
        <f t="shared" si="161"/>
        <v>14936.544</v>
      </c>
      <c r="AP27" s="10">
        <f t="shared" ref="AP27" si="163">2.17*12*AP35</f>
        <v>13410.6</v>
      </c>
      <c r="AQ27" s="50">
        <v>0.5</v>
      </c>
      <c r="AR27" s="10">
        <f>0.5*12*AR35</f>
        <v>3252.6000000000004</v>
      </c>
      <c r="AS27" s="10">
        <f t="shared" ref="AS27" si="164">0.5*12*AS35</f>
        <v>3222.6000000000004</v>
      </c>
      <c r="AT27" s="25">
        <f>0.32+0.18+0.38</f>
        <v>0.88</v>
      </c>
      <c r="AU27" s="10">
        <f>0.88*12*AU35</f>
        <v>6490.1760000000004</v>
      </c>
      <c r="AV27" s="10">
        <f t="shared" ref="AV27:AX27" si="165">0.88*12*AV35</f>
        <v>4370.7839999999997</v>
      </c>
      <c r="AW27" s="10">
        <f t="shared" si="165"/>
        <v>8093.1840000000002</v>
      </c>
      <c r="AX27" s="10">
        <f t="shared" si="165"/>
        <v>4908.2880000000005</v>
      </c>
      <c r="AY27" s="10">
        <f>0.88*12*AY35</f>
        <v>5401.4400000000005</v>
      </c>
      <c r="AZ27" s="10">
        <f t="shared" ref="AZ27:BB27" si="166">0.88*12*AZ35</f>
        <v>5437.3440000000001</v>
      </c>
      <c r="BA27" s="10">
        <f t="shared" si="166"/>
        <v>4345.4400000000005</v>
      </c>
      <c r="BB27" s="10">
        <f t="shared" si="166"/>
        <v>4288.4160000000002</v>
      </c>
      <c r="BC27" s="10">
        <f>0.88*12*BC35</f>
        <v>4366.5600000000004</v>
      </c>
      <c r="BD27" s="10">
        <f t="shared" ref="BD27:BF27" si="167">0.88*12*BD35</f>
        <v>4347.5519999999997</v>
      </c>
      <c r="BE27" s="10">
        <f t="shared" si="167"/>
        <v>11723.712000000001</v>
      </c>
      <c r="BF27" s="10">
        <f t="shared" si="167"/>
        <v>11792.352000000001</v>
      </c>
      <c r="BG27" s="10">
        <f t="shared" ref="BG27:BH27" si="168">0.88*12*BG35</f>
        <v>7553.5680000000002</v>
      </c>
      <c r="BH27" s="10">
        <f t="shared" si="168"/>
        <v>5427.84</v>
      </c>
      <c r="BI27" s="10">
        <f t="shared" ref="BI27" si="169">0.88*12*BI35</f>
        <v>7828.1279999999997</v>
      </c>
    </row>
    <row r="28" spans="1:61" s="1" customFormat="1">
      <c r="A28" s="80" t="s">
        <v>7</v>
      </c>
      <c r="B28" s="81"/>
      <c r="C28" s="81"/>
      <c r="D28" s="81"/>
      <c r="E28" s="81"/>
      <c r="F28" s="82"/>
      <c r="G28" s="26"/>
      <c r="H28" s="40">
        <f t="shared" ref="H28:L28" si="170">SUM(H29:H33)</f>
        <v>9.370000000000001</v>
      </c>
      <c r="I28" s="11">
        <f t="shared" si="170"/>
        <v>70218.78</v>
      </c>
      <c r="J28" s="11">
        <f t="shared" si="170"/>
        <v>71961.600000000006</v>
      </c>
      <c r="K28" s="11">
        <f t="shared" si="170"/>
        <v>34710.227999999996</v>
      </c>
      <c r="L28" s="11">
        <f t="shared" si="170"/>
        <v>6307.8840000000009</v>
      </c>
      <c r="M28" s="11">
        <f t="shared" ref="M28" si="171">SUM(M29:M33)</f>
        <v>65485.055999999997</v>
      </c>
      <c r="N28" s="26">
        <v>7.3299999999999992</v>
      </c>
      <c r="O28" s="11">
        <f t="shared" ref="O28:Q28" si="172">SUM(O29:O33)</f>
        <v>45554.483999999997</v>
      </c>
      <c r="P28" s="11">
        <f t="shared" si="172"/>
        <v>44824.416000000005</v>
      </c>
      <c r="Q28" s="11">
        <f t="shared" si="172"/>
        <v>45079.5</v>
      </c>
      <c r="R28" s="11">
        <f t="shared" ref="R28:AO28" si="173">SUM(R29:R33)</f>
        <v>45132.276000000005</v>
      </c>
      <c r="S28" s="11">
        <f t="shared" si="173"/>
        <v>44252.676000000007</v>
      </c>
      <c r="T28" s="11">
        <f t="shared" si="173"/>
        <v>45783.179999999993</v>
      </c>
      <c r="U28" s="11">
        <f t="shared" si="173"/>
        <v>47727.095999999998</v>
      </c>
      <c r="V28" s="11">
        <f t="shared" si="173"/>
        <v>46091.040000000008</v>
      </c>
      <c r="W28" s="11">
        <f t="shared" si="173"/>
        <v>46442.880000000005</v>
      </c>
      <c r="X28" s="11">
        <f t="shared" si="173"/>
        <v>36327.480000000003</v>
      </c>
      <c r="Y28" s="11">
        <f t="shared" si="173"/>
        <v>45695.22</v>
      </c>
      <c r="Z28" s="11">
        <f t="shared" si="173"/>
        <v>46944.252</v>
      </c>
      <c r="AA28" s="11">
        <f t="shared" ref="AA28" si="174">SUM(AA29:AA33)</f>
        <v>45923.916000000005</v>
      </c>
      <c r="AB28" s="11">
        <f t="shared" si="173"/>
        <v>45879.936000000002</v>
      </c>
      <c r="AC28" s="11">
        <f t="shared" si="173"/>
        <v>45501.707999999999</v>
      </c>
      <c r="AD28" s="11">
        <f t="shared" si="173"/>
        <v>45976.692000000003</v>
      </c>
      <c r="AE28" s="11">
        <f t="shared" si="173"/>
        <v>45941.508000000002</v>
      </c>
      <c r="AF28" s="11">
        <f t="shared" si="173"/>
        <v>29449.008000000002</v>
      </c>
      <c r="AG28" s="11">
        <f t="shared" si="173"/>
        <v>29572.152000000002</v>
      </c>
      <c r="AH28" s="11">
        <f t="shared" si="173"/>
        <v>4872.9839999999995</v>
      </c>
      <c r="AI28" s="11">
        <f t="shared" si="173"/>
        <v>46135.020000000004</v>
      </c>
      <c r="AJ28" s="11">
        <f t="shared" si="173"/>
        <v>46566.023999999998</v>
      </c>
      <c r="AK28" s="11">
        <f t="shared" si="173"/>
        <v>48122.916000000005</v>
      </c>
      <c r="AL28" s="11">
        <f t="shared" si="173"/>
        <v>44428.595999999998</v>
      </c>
      <c r="AM28" s="11">
        <f t="shared" si="173"/>
        <v>45941.508000000002</v>
      </c>
      <c r="AN28" s="11">
        <f t="shared" si="173"/>
        <v>32844.264000000003</v>
      </c>
      <c r="AO28" s="11">
        <f t="shared" si="173"/>
        <v>50453.856</v>
      </c>
      <c r="AP28" s="11">
        <f t="shared" ref="AP28" si="175">SUM(AP29:AP33)</f>
        <v>45299.4</v>
      </c>
      <c r="AQ28" s="51">
        <f>AQ29+AQ30+AQ31+AQ32+AQ33</f>
        <v>7.6000000000000005</v>
      </c>
      <c r="AR28" s="11">
        <f t="shared" ref="AR28:AS28" si="176">SUM(AR29:AR33)</f>
        <v>49439.519999999997</v>
      </c>
      <c r="AS28" s="11">
        <f t="shared" si="176"/>
        <v>48983.519999999997</v>
      </c>
      <c r="AT28" s="26">
        <f t="shared" ref="AT28:AX28" si="177">SUM(AT29:AT33)</f>
        <v>11.659999999999997</v>
      </c>
      <c r="AU28" s="11">
        <f t="shared" si="177"/>
        <v>85994.831999999995</v>
      </c>
      <c r="AV28" s="11">
        <f t="shared" si="177"/>
        <v>57912.887999999999</v>
      </c>
      <c r="AW28" s="11">
        <f t="shared" si="177"/>
        <v>107234.68799999999</v>
      </c>
      <c r="AX28" s="11">
        <f t="shared" si="177"/>
        <v>65034.815999999999</v>
      </c>
      <c r="AY28" s="11">
        <f t="shared" ref="AY28:BF28" si="178">SUM(AY29:AY33)</f>
        <v>71569.079999999987</v>
      </c>
      <c r="AZ28" s="11">
        <f t="shared" si="178"/>
        <v>72044.808000000005</v>
      </c>
      <c r="BA28" s="11">
        <f t="shared" si="178"/>
        <v>57577.079999999994</v>
      </c>
      <c r="BB28" s="11">
        <f t="shared" si="178"/>
        <v>56821.512000000002</v>
      </c>
      <c r="BC28" s="11">
        <f t="shared" si="178"/>
        <v>57856.92</v>
      </c>
      <c r="BD28" s="11">
        <f t="shared" si="178"/>
        <v>57605.063999999998</v>
      </c>
      <c r="BE28" s="11">
        <f t="shared" si="178"/>
        <v>155339.18400000004</v>
      </c>
      <c r="BF28" s="11">
        <f t="shared" si="178"/>
        <v>156248.66399999999</v>
      </c>
      <c r="BG28" s="11">
        <f t="shared" ref="BG28:BH28" si="179">SUM(BG29:BG33)</f>
        <v>100084.776</v>
      </c>
      <c r="BH28" s="11">
        <f t="shared" si="179"/>
        <v>71918.87999999999</v>
      </c>
      <c r="BI28" s="11">
        <f t="shared" ref="BI28" si="180">SUM(BI29:BI33)</f>
        <v>103722.696</v>
      </c>
    </row>
    <row r="29" spans="1:61" s="1" customFormat="1" ht="176.25" customHeight="1">
      <c r="A29" s="83" t="s">
        <v>39</v>
      </c>
      <c r="B29" s="83"/>
      <c r="C29" s="83"/>
      <c r="D29" s="83"/>
      <c r="E29" s="83"/>
      <c r="F29" s="83"/>
      <c r="G29" s="27" t="s">
        <v>44</v>
      </c>
      <c r="H29" s="39">
        <f>0.71+0.34+1.8+1.8+0.71+0.14+0.15+0.15+0.03+0.02+0.05+0.01</f>
        <v>5.91</v>
      </c>
      <c r="I29" s="10">
        <f>5.91*12*I35</f>
        <v>44289.54</v>
      </c>
      <c r="J29" s="10">
        <f t="shared" ref="J29:L29" si="181">5.91*12*J35</f>
        <v>45388.800000000003</v>
      </c>
      <c r="K29" s="10">
        <f t="shared" si="181"/>
        <v>21893.004000000001</v>
      </c>
      <c r="L29" s="10">
        <f t="shared" si="181"/>
        <v>3978.6120000000001</v>
      </c>
      <c r="M29" s="10">
        <f t="shared" ref="M29" si="182">5.91*12*M35</f>
        <v>41303.807999999997</v>
      </c>
      <c r="N29" s="25">
        <v>1.57</v>
      </c>
      <c r="O29" s="10">
        <f t="shared" ref="O29:Q29" si="183">1.57*12*O35</f>
        <v>9757.235999999999</v>
      </c>
      <c r="P29" s="10">
        <f t="shared" si="183"/>
        <v>9600.8639999999996</v>
      </c>
      <c r="Q29" s="10">
        <f t="shared" si="183"/>
        <v>9655.5</v>
      </c>
      <c r="R29" s="10">
        <f t="shared" ref="R29:AO29" si="184">1.57*12*R35</f>
        <v>9666.8040000000001</v>
      </c>
      <c r="S29" s="10">
        <f t="shared" si="184"/>
        <v>9478.4040000000005</v>
      </c>
      <c r="T29" s="10">
        <f t="shared" si="184"/>
        <v>9806.2199999999993</v>
      </c>
      <c r="U29" s="10">
        <f t="shared" si="184"/>
        <v>10222.584000000001</v>
      </c>
      <c r="V29" s="10">
        <f t="shared" si="184"/>
        <v>9872.16</v>
      </c>
      <c r="W29" s="10">
        <f t="shared" si="184"/>
        <v>9947.52</v>
      </c>
      <c r="X29" s="10">
        <f t="shared" si="184"/>
        <v>7780.92</v>
      </c>
      <c r="Y29" s="10">
        <f t="shared" si="184"/>
        <v>9787.3799999999992</v>
      </c>
      <c r="Z29" s="10">
        <f t="shared" si="184"/>
        <v>10054.908000000001</v>
      </c>
      <c r="AA29" s="10">
        <f t="shared" ref="AA29" si="185">1.57*12*AA35</f>
        <v>9836.3639999999996</v>
      </c>
      <c r="AB29" s="10">
        <f t="shared" si="184"/>
        <v>9826.9439999999995</v>
      </c>
      <c r="AC29" s="10">
        <f t="shared" si="184"/>
        <v>9745.9319999999989</v>
      </c>
      <c r="AD29" s="10">
        <f t="shared" si="184"/>
        <v>9847.6680000000015</v>
      </c>
      <c r="AE29" s="10">
        <f t="shared" si="184"/>
        <v>9840.1319999999996</v>
      </c>
      <c r="AF29" s="10">
        <f t="shared" si="184"/>
        <v>6307.6320000000005</v>
      </c>
      <c r="AG29" s="10">
        <f t="shared" si="184"/>
        <v>6334.0079999999998</v>
      </c>
      <c r="AH29" s="10">
        <f t="shared" si="184"/>
        <v>1043.7359999999999</v>
      </c>
      <c r="AI29" s="10">
        <f t="shared" si="184"/>
        <v>9881.58</v>
      </c>
      <c r="AJ29" s="10">
        <f t="shared" si="184"/>
        <v>9973.8959999999988</v>
      </c>
      <c r="AK29" s="10">
        <f t="shared" si="184"/>
        <v>10307.364</v>
      </c>
      <c r="AL29" s="10">
        <f t="shared" si="184"/>
        <v>9516.0840000000007</v>
      </c>
      <c r="AM29" s="10">
        <f t="shared" si="184"/>
        <v>9840.1319999999996</v>
      </c>
      <c r="AN29" s="10">
        <f t="shared" si="184"/>
        <v>7034.8559999999998</v>
      </c>
      <c r="AO29" s="10">
        <f t="shared" si="184"/>
        <v>10806.624</v>
      </c>
      <c r="AP29" s="10">
        <f t="shared" ref="AP29" si="186">1.57*12*AP35</f>
        <v>9702.6</v>
      </c>
      <c r="AQ29" s="50">
        <v>4.91</v>
      </c>
      <c r="AR29" s="10">
        <f>4.91*12*AR35</f>
        <v>31940.532000000003</v>
      </c>
      <c r="AS29" s="10">
        <f t="shared" ref="AS29" si="187">4.91*12*AS35</f>
        <v>31645.932000000001</v>
      </c>
      <c r="AT29" s="25">
        <f>0.49+0.35+2.46+2.46+0.81+0.1+0.13+0.14+0.1+0.03+0.02+0.04+0.01</f>
        <v>7.1399999999999988</v>
      </c>
      <c r="AU29" s="10">
        <f>7.14*12*AU35</f>
        <v>52658.928</v>
      </c>
      <c r="AV29" s="10">
        <f t="shared" ref="AV29:AX29" si="188">7.14*12*AV35</f>
        <v>35462.951999999997</v>
      </c>
      <c r="AW29" s="10">
        <f t="shared" si="188"/>
        <v>65665.151999999987</v>
      </c>
      <c r="AX29" s="10">
        <f t="shared" si="188"/>
        <v>39824.063999999998</v>
      </c>
      <c r="AY29" s="10">
        <f>7.14*12*AY35</f>
        <v>43825.32</v>
      </c>
      <c r="AZ29" s="10">
        <f t="shared" ref="AZ29:BB29" si="189">7.14*12*AZ35</f>
        <v>44116.631999999998</v>
      </c>
      <c r="BA29" s="10">
        <f t="shared" si="189"/>
        <v>35257.32</v>
      </c>
      <c r="BB29" s="10">
        <f t="shared" si="189"/>
        <v>34794.648000000001</v>
      </c>
      <c r="BC29" s="10">
        <f>7.14*12*BC35</f>
        <v>35428.68</v>
      </c>
      <c r="BD29" s="10">
        <f t="shared" ref="BD29:BF29" si="190">7.14*12*BD35</f>
        <v>35274.455999999998</v>
      </c>
      <c r="BE29" s="10">
        <f t="shared" si="190"/>
        <v>95121.936000000002</v>
      </c>
      <c r="BF29" s="10">
        <f t="shared" si="190"/>
        <v>95678.856</v>
      </c>
      <c r="BG29" s="10">
        <f t="shared" ref="BG29:BH29" si="191">7.14*12*BG35</f>
        <v>61286.903999999988</v>
      </c>
      <c r="BH29" s="10">
        <f t="shared" si="191"/>
        <v>44039.519999999997</v>
      </c>
      <c r="BI29" s="10">
        <f t="shared" ref="BI29" si="192">7.14*12*BI35</f>
        <v>63514.583999999988</v>
      </c>
    </row>
    <row r="30" spans="1:61" s="1" customFormat="1" ht="84.75" customHeight="1">
      <c r="A30" s="84" t="s">
        <v>6</v>
      </c>
      <c r="B30" s="84"/>
      <c r="C30" s="84"/>
      <c r="D30" s="84"/>
      <c r="E30" s="84"/>
      <c r="F30" s="84"/>
      <c r="G30" s="27" t="s">
        <v>5</v>
      </c>
      <c r="H30" s="39">
        <v>1.2</v>
      </c>
      <c r="I30" s="10">
        <f>1.2*12*I35</f>
        <v>8992.7999999999993</v>
      </c>
      <c r="J30" s="10">
        <f t="shared" ref="J30:L30" si="193">1.2*12*J35</f>
        <v>9216</v>
      </c>
      <c r="K30" s="10">
        <f t="shared" si="193"/>
        <v>4445.28</v>
      </c>
      <c r="L30" s="10">
        <f t="shared" si="193"/>
        <v>807.83999999999992</v>
      </c>
      <c r="M30" s="10">
        <f t="shared" ref="M30" si="194">1.2*12*M35</f>
        <v>8386.56</v>
      </c>
      <c r="N30" s="25">
        <v>1.85</v>
      </c>
      <c r="O30" s="10">
        <f t="shared" ref="O30:Q30" si="195">1.85*12*O35</f>
        <v>11497.380000000001</v>
      </c>
      <c r="P30" s="10">
        <f t="shared" si="195"/>
        <v>11313.120000000003</v>
      </c>
      <c r="Q30" s="10">
        <f t="shared" si="195"/>
        <v>11377.500000000002</v>
      </c>
      <c r="R30" s="10">
        <f t="shared" ref="R30:AO30" si="196">1.85*12*R35</f>
        <v>11390.820000000002</v>
      </c>
      <c r="S30" s="10">
        <f t="shared" si="196"/>
        <v>11168.820000000002</v>
      </c>
      <c r="T30" s="10">
        <f t="shared" si="196"/>
        <v>11555.100000000002</v>
      </c>
      <c r="U30" s="10">
        <f t="shared" si="196"/>
        <v>12045.720000000001</v>
      </c>
      <c r="V30" s="10">
        <f t="shared" si="196"/>
        <v>11632.800000000001</v>
      </c>
      <c r="W30" s="10">
        <f t="shared" si="196"/>
        <v>11721.600000000002</v>
      </c>
      <c r="X30" s="10">
        <f t="shared" si="196"/>
        <v>9168.6</v>
      </c>
      <c r="Y30" s="10">
        <f t="shared" si="196"/>
        <v>11532.900000000001</v>
      </c>
      <c r="Z30" s="10">
        <f t="shared" si="196"/>
        <v>11848.140000000003</v>
      </c>
      <c r="AA30" s="10">
        <f t="shared" ref="AA30" si="197">1.85*12*AA35</f>
        <v>11590.620000000003</v>
      </c>
      <c r="AB30" s="10">
        <f t="shared" si="196"/>
        <v>11579.520000000002</v>
      </c>
      <c r="AC30" s="10">
        <f t="shared" si="196"/>
        <v>11484.060000000001</v>
      </c>
      <c r="AD30" s="10">
        <f t="shared" si="196"/>
        <v>11603.940000000002</v>
      </c>
      <c r="AE30" s="10">
        <f t="shared" si="196"/>
        <v>11595.060000000001</v>
      </c>
      <c r="AF30" s="10">
        <f t="shared" si="196"/>
        <v>7432.5600000000013</v>
      </c>
      <c r="AG30" s="10">
        <f t="shared" si="196"/>
        <v>7463.64</v>
      </c>
      <c r="AH30" s="10">
        <f t="shared" si="196"/>
        <v>1229.8800000000001</v>
      </c>
      <c r="AI30" s="10">
        <f t="shared" si="196"/>
        <v>11643.900000000001</v>
      </c>
      <c r="AJ30" s="10">
        <f t="shared" si="196"/>
        <v>11752.68</v>
      </c>
      <c r="AK30" s="10">
        <f t="shared" si="196"/>
        <v>12145.620000000003</v>
      </c>
      <c r="AL30" s="10">
        <f t="shared" si="196"/>
        <v>11213.220000000001</v>
      </c>
      <c r="AM30" s="10">
        <f t="shared" si="196"/>
        <v>11595.060000000001</v>
      </c>
      <c r="AN30" s="10">
        <f t="shared" si="196"/>
        <v>8289.4800000000014</v>
      </c>
      <c r="AO30" s="10">
        <f t="shared" si="196"/>
        <v>12733.920000000002</v>
      </c>
      <c r="AP30" s="10">
        <f t="shared" ref="AP30" si="198">1.85*12*AP35</f>
        <v>11433.000000000002</v>
      </c>
      <c r="AQ30" s="50">
        <v>1.2</v>
      </c>
      <c r="AR30" s="10">
        <f>1.2*12*AR35</f>
        <v>7806.24</v>
      </c>
      <c r="AS30" s="10">
        <f t="shared" ref="AS30" si="199">1.2*12*AS35</f>
        <v>7734.24</v>
      </c>
      <c r="AT30" s="25">
        <v>1.4</v>
      </c>
      <c r="AU30" s="10">
        <f>1.4*12*AU35</f>
        <v>10325.279999999999</v>
      </c>
      <c r="AV30" s="10">
        <f t="shared" ref="AV30:AX30" si="200">1.4*12*AV35</f>
        <v>6953.5199999999986</v>
      </c>
      <c r="AW30" s="10">
        <f t="shared" si="200"/>
        <v>12875.519999999997</v>
      </c>
      <c r="AX30" s="10">
        <f t="shared" si="200"/>
        <v>7808.6399999999985</v>
      </c>
      <c r="AY30" s="10">
        <f>1.4*12*AY35</f>
        <v>8593.1999999999989</v>
      </c>
      <c r="AZ30" s="10">
        <f t="shared" ref="AZ30:BB30" si="201">1.4*12*AZ35</f>
        <v>8650.3199999999979</v>
      </c>
      <c r="BA30" s="10">
        <f t="shared" si="201"/>
        <v>6913.1999999999989</v>
      </c>
      <c r="BB30" s="10">
        <f t="shared" si="201"/>
        <v>6822.48</v>
      </c>
      <c r="BC30" s="10">
        <f>1.4*12*BC35</f>
        <v>6946.7999999999993</v>
      </c>
      <c r="BD30" s="10">
        <f t="shared" ref="BD30:BF30" si="202">1.4*12*BD35</f>
        <v>6916.5599999999986</v>
      </c>
      <c r="BE30" s="10">
        <f t="shared" si="202"/>
        <v>18651.359999999997</v>
      </c>
      <c r="BF30" s="10">
        <f t="shared" si="202"/>
        <v>18760.559999999998</v>
      </c>
      <c r="BG30" s="10">
        <f t="shared" ref="BG30:BH30" si="203">1.4*12*BG35</f>
        <v>12017.039999999997</v>
      </c>
      <c r="BH30" s="10">
        <f t="shared" si="203"/>
        <v>8635.1999999999989</v>
      </c>
      <c r="BI30" s="10">
        <f t="shared" ref="BI30" si="204">1.4*12*BI35</f>
        <v>12453.839999999997</v>
      </c>
    </row>
    <row r="31" spans="1:61" s="1" customFormat="1" ht="32.25">
      <c r="A31" s="84" t="s">
        <v>37</v>
      </c>
      <c r="B31" s="84"/>
      <c r="C31" s="84"/>
      <c r="D31" s="84"/>
      <c r="E31" s="84"/>
      <c r="F31" s="84"/>
      <c r="G31" s="28" t="s">
        <v>45</v>
      </c>
      <c r="H31" s="39">
        <f>0.49+0.14+0.21+0.11+0.16</f>
        <v>1.1099999999999999</v>
      </c>
      <c r="I31" s="10">
        <f>1.11*12*I35</f>
        <v>8318.34</v>
      </c>
      <c r="J31" s="10">
        <f t="shared" ref="J31:L31" si="205">1.11*12*J35</f>
        <v>8524.7999999999993</v>
      </c>
      <c r="K31" s="10">
        <f t="shared" si="205"/>
        <v>4111.884</v>
      </c>
      <c r="L31" s="10">
        <f t="shared" si="205"/>
        <v>747.25200000000007</v>
      </c>
      <c r="M31" s="10">
        <f t="shared" ref="M31" si="206">1.11*12*M35</f>
        <v>7757.5680000000002</v>
      </c>
      <c r="N31" s="25">
        <v>2.1199999999999997</v>
      </c>
      <c r="O31" s="10">
        <f t="shared" ref="O31:Q31" si="207">2.12*12*O35</f>
        <v>13175.376</v>
      </c>
      <c r="P31" s="10">
        <f t="shared" si="207"/>
        <v>12964.224000000002</v>
      </c>
      <c r="Q31" s="10">
        <f t="shared" si="207"/>
        <v>13038</v>
      </c>
      <c r="R31" s="10">
        <f t="shared" ref="R31:AO31" si="208">2.12*12*R35</f>
        <v>13053.264000000001</v>
      </c>
      <c r="S31" s="10">
        <f t="shared" si="208"/>
        <v>12798.864000000001</v>
      </c>
      <c r="T31" s="10">
        <f t="shared" si="208"/>
        <v>13241.52</v>
      </c>
      <c r="U31" s="10">
        <f t="shared" si="208"/>
        <v>13803.744000000001</v>
      </c>
      <c r="V31" s="10">
        <f t="shared" si="208"/>
        <v>13330.560000000001</v>
      </c>
      <c r="W31" s="10">
        <f t="shared" si="208"/>
        <v>13432.320000000002</v>
      </c>
      <c r="X31" s="10">
        <f t="shared" si="208"/>
        <v>10506.720000000001</v>
      </c>
      <c r="Y31" s="10">
        <f t="shared" si="208"/>
        <v>13216.08</v>
      </c>
      <c r="Z31" s="10">
        <f t="shared" si="208"/>
        <v>13577.328000000001</v>
      </c>
      <c r="AA31" s="10">
        <f t="shared" ref="AA31" si="209">2.12*12*AA35</f>
        <v>13282.224000000002</v>
      </c>
      <c r="AB31" s="10">
        <f t="shared" si="208"/>
        <v>13269.504000000001</v>
      </c>
      <c r="AC31" s="10">
        <f t="shared" si="208"/>
        <v>13160.111999999999</v>
      </c>
      <c r="AD31" s="10">
        <f t="shared" si="208"/>
        <v>13297.488000000001</v>
      </c>
      <c r="AE31" s="10">
        <f t="shared" si="208"/>
        <v>13287.312</v>
      </c>
      <c r="AF31" s="10">
        <f t="shared" si="208"/>
        <v>8517.3119999999999</v>
      </c>
      <c r="AG31" s="10">
        <f t="shared" si="208"/>
        <v>8552.9279999999999</v>
      </c>
      <c r="AH31" s="10">
        <f t="shared" si="208"/>
        <v>1409.376</v>
      </c>
      <c r="AI31" s="10">
        <f t="shared" si="208"/>
        <v>13343.28</v>
      </c>
      <c r="AJ31" s="10">
        <f t="shared" si="208"/>
        <v>13467.936</v>
      </c>
      <c r="AK31" s="10">
        <f t="shared" si="208"/>
        <v>13918.224000000002</v>
      </c>
      <c r="AL31" s="10">
        <f t="shared" si="208"/>
        <v>12849.744000000001</v>
      </c>
      <c r="AM31" s="10">
        <f t="shared" si="208"/>
        <v>13287.312</v>
      </c>
      <c r="AN31" s="10">
        <f t="shared" si="208"/>
        <v>9499.2960000000003</v>
      </c>
      <c r="AO31" s="10">
        <f t="shared" si="208"/>
        <v>14592.384000000002</v>
      </c>
      <c r="AP31" s="10">
        <f t="shared" ref="AP31" si="210">2.12*12*AP35</f>
        <v>13101.6</v>
      </c>
      <c r="AQ31" s="50">
        <v>0.76</v>
      </c>
      <c r="AR31" s="10">
        <f>0.76*12*AR35</f>
        <v>4943.9520000000011</v>
      </c>
      <c r="AS31" s="10">
        <f t="shared" ref="AS31" si="211">0.76*12*AS35</f>
        <v>4898.3520000000008</v>
      </c>
      <c r="AT31" s="25">
        <f>0.51+0.3+0.22+0.12+0.17+0.22</f>
        <v>1.5399999999999998</v>
      </c>
      <c r="AU31" s="10">
        <f>1.54*12*AU35</f>
        <v>11357.808000000001</v>
      </c>
      <c r="AV31" s="10">
        <f t="shared" ref="AV31:AX31" si="212">1.54*12*AV35</f>
        <v>7648.8719999999994</v>
      </c>
      <c r="AW31" s="10">
        <f t="shared" si="212"/>
        <v>14163.072</v>
      </c>
      <c r="AX31" s="10">
        <f t="shared" si="212"/>
        <v>8589.5040000000008</v>
      </c>
      <c r="AY31" s="10">
        <f>1.54*12*AY35</f>
        <v>9452.52</v>
      </c>
      <c r="AZ31" s="10">
        <f t="shared" ref="AZ31:BB31" si="213">1.54*12*AZ35</f>
        <v>9515.351999999999</v>
      </c>
      <c r="BA31" s="10">
        <f t="shared" si="213"/>
        <v>7604.52</v>
      </c>
      <c r="BB31" s="10">
        <f t="shared" si="213"/>
        <v>7504.728000000001</v>
      </c>
      <c r="BC31" s="10">
        <f>1.54*12*BC35</f>
        <v>7641.4800000000005</v>
      </c>
      <c r="BD31" s="10">
        <f t="shared" ref="BD31:BF31" si="214">1.54*12*BD35</f>
        <v>7608.2160000000003</v>
      </c>
      <c r="BE31" s="10">
        <f t="shared" si="214"/>
        <v>20516.496000000003</v>
      </c>
      <c r="BF31" s="10">
        <f t="shared" si="214"/>
        <v>20636.616000000002</v>
      </c>
      <c r="BG31" s="10">
        <f t="shared" ref="BG31:BH31" si="215">1.54*12*BG35</f>
        <v>13218.743999999999</v>
      </c>
      <c r="BH31" s="10">
        <f t="shared" si="215"/>
        <v>9498.7199999999993</v>
      </c>
      <c r="BI31" s="10">
        <f t="shared" ref="BI31" si="216">1.54*12*BI35</f>
        <v>13699.224</v>
      </c>
    </row>
    <row r="32" spans="1:61" s="1" customFormat="1">
      <c r="A32" s="84" t="s">
        <v>50</v>
      </c>
      <c r="B32" s="84"/>
      <c r="C32" s="84"/>
      <c r="D32" s="84"/>
      <c r="E32" s="84"/>
      <c r="F32" s="84"/>
      <c r="G32" s="25" t="s">
        <v>4</v>
      </c>
      <c r="H32" s="39">
        <v>0.94</v>
      </c>
      <c r="I32" s="10">
        <f>0.94*12*I35</f>
        <v>7044.36</v>
      </c>
      <c r="J32" s="10">
        <f t="shared" ref="J32:L32" si="217">0.94*12*J35</f>
        <v>7219.2</v>
      </c>
      <c r="K32" s="10">
        <f t="shared" si="217"/>
        <v>3482.1359999999995</v>
      </c>
      <c r="L32" s="10">
        <f t="shared" si="217"/>
        <v>632.80799999999999</v>
      </c>
      <c r="M32" s="10">
        <f t="shared" ref="M32" si="218">0.94*12*M35</f>
        <v>6569.4719999999998</v>
      </c>
      <c r="N32" s="25">
        <v>1.36</v>
      </c>
      <c r="O32" s="10">
        <f t="shared" ref="O32:Q32" si="219">1.36*12*O35</f>
        <v>8452.1280000000006</v>
      </c>
      <c r="P32" s="10">
        <f t="shared" si="219"/>
        <v>8316.6720000000005</v>
      </c>
      <c r="Q32" s="10">
        <f t="shared" si="219"/>
        <v>8364</v>
      </c>
      <c r="R32" s="10">
        <f t="shared" ref="R32:AO32" si="220">1.36*12*R35</f>
        <v>8373.7920000000013</v>
      </c>
      <c r="S32" s="10">
        <f t="shared" si="220"/>
        <v>8210.5920000000006</v>
      </c>
      <c r="T32" s="10">
        <f t="shared" si="220"/>
        <v>8494.56</v>
      </c>
      <c r="U32" s="10">
        <f t="shared" si="220"/>
        <v>8855.232</v>
      </c>
      <c r="V32" s="10">
        <f t="shared" si="220"/>
        <v>8551.68</v>
      </c>
      <c r="W32" s="10">
        <f t="shared" si="220"/>
        <v>8616.9600000000009</v>
      </c>
      <c r="X32" s="10">
        <f t="shared" si="220"/>
        <v>6740.16</v>
      </c>
      <c r="Y32" s="10">
        <f t="shared" si="220"/>
        <v>8478.24</v>
      </c>
      <c r="Z32" s="10">
        <f t="shared" si="220"/>
        <v>8709.9840000000004</v>
      </c>
      <c r="AA32" s="10">
        <f t="shared" ref="AA32" si="221">1.36*12*AA35</f>
        <v>8520.6720000000005</v>
      </c>
      <c r="AB32" s="10">
        <f t="shared" si="220"/>
        <v>8512.5120000000006</v>
      </c>
      <c r="AC32" s="10">
        <f t="shared" si="220"/>
        <v>8442.3359999999993</v>
      </c>
      <c r="AD32" s="10">
        <f t="shared" si="220"/>
        <v>8530.4640000000018</v>
      </c>
      <c r="AE32" s="10">
        <f t="shared" si="220"/>
        <v>8523.9359999999997</v>
      </c>
      <c r="AF32" s="10">
        <f t="shared" si="220"/>
        <v>5463.9360000000006</v>
      </c>
      <c r="AG32" s="10">
        <f t="shared" si="220"/>
        <v>5486.7839999999997</v>
      </c>
      <c r="AH32" s="10">
        <f t="shared" si="220"/>
        <v>904.12800000000004</v>
      </c>
      <c r="AI32" s="10">
        <f t="shared" si="220"/>
        <v>8559.84</v>
      </c>
      <c r="AJ32" s="10">
        <f t="shared" si="220"/>
        <v>8639.8079999999991</v>
      </c>
      <c r="AK32" s="10">
        <f t="shared" si="220"/>
        <v>8928.6720000000005</v>
      </c>
      <c r="AL32" s="10">
        <f t="shared" si="220"/>
        <v>8243.232</v>
      </c>
      <c r="AM32" s="10">
        <f t="shared" si="220"/>
        <v>8523.9359999999997</v>
      </c>
      <c r="AN32" s="10">
        <f t="shared" si="220"/>
        <v>6093.8879999999999</v>
      </c>
      <c r="AO32" s="10">
        <f t="shared" si="220"/>
        <v>9361.152</v>
      </c>
      <c r="AP32" s="10">
        <f t="shared" ref="AP32" si="222">1.36*12*AP35</f>
        <v>8404.7999999999993</v>
      </c>
      <c r="AQ32" s="50">
        <v>0.52</v>
      </c>
      <c r="AR32" s="10">
        <f>0.52*12*AR35</f>
        <v>3382.7040000000002</v>
      </c>
      <c r="AS32" s="10">
        <f t="shared" ref="AS32" si="223">0.52*12*AS35</f>
        <v>3351.5040000000004</v>
      </c>
      <c r="AT32" s="25">
        <v>0.87</v>
      </c>
      <c r="AU32" s="10">
        <f>0.87*12*AU35</f>
        <v>6416.424</v>
      </c>
      <c r="AV32" s="10">
        <f t="shared" ref="AV32:AX32" si="224">0.87*12*AV35</f>
        <v>4321.116</v>
      </c>
      <c r="AW32" s="10">
        <f t="shared" si="224"/>
        <v>8001.2159999999994</v>
      </c>
      <c r="AX32" s="10">
        <f t="shared" si="224"/>
        <v>4852.5119999999997</v>
      </c>
      <c r="AY32" s="10">
        <f>0.87*12*AY35</f>
        <v>5340.0599999999995</v>
      </c>
      <c r="AZ32" s="10">
        <f t="shared" ref="AZ32:BB32" si="225">0.87*12*AZ35</f>
        <v>5375.5559999999996</v>
      </c>
      <c r="BA32" s="10">
        <f t="shared" si="225"/>
        <v>4296.0599999999995</v>
      </c>
      <c r="BB32" s="10">
        <f t="shared" si="225"/>
        <v>4239.6840000000002</v>
      </c>
      <c r="BC32" s="10">
        <f>0.87*12*BC35</f>
        <v>4316.9399999999996</v>
      </c>
      <c r="BD32" s="10">
        <f t="shared" ref="BD32:BF32" si="226">0.87*12*BD35</f>
        <v>4298.1479999999992</v>
      </c>
      <c r="BE32" s="10">
        <f t="shared" si="226"/>
        <v>11590.487999999999</v>
      </c>
      <c r="BF32" s="10">
        <f t="shared" si="226"/>
        <v>11658.348</v>
      </c>
      <c r="BG32" s="10">
        <f t="shared" ref="BG32:BH32" si="227">0.87*12*BG35</f>
        <v>7467.7319999999991</v>
      </c>
      <c r="BH32" s="10">
        <f t="shared" si="227"/>
        <v>5366.16</v>
      </c>
      <c r="BI32" s="10">
        <f t="shared" ref="BI32" si="228">0.87*12*BI35</f>
        <v>7739.1719999999996</v>
      </c>
    </row>
    <row r="33" spans="1:64" s="1" customFormat="1">
      <c r="A33" s="84" t="s">
        <v>51</v>
      </c>
      <c r="B33" s="84"/>
      <c r="C33" s="84"/>
      <c r="D33" s="84"/>
      <c r="E33" s="84"/>
      <c r="F33" s="84"/>
      <c r="G33" s="25" t="s">
        <v>8</v>
      </c>
      <c r="H33" s="39">
        <v>0.21</v>
      </c>
      <c r="I33" s="10">
        <f>0.21*12*I35</f>
        <v>1573.74</v>
      </c>
      <c r="J33" s="10">
        <f t="shared" ref="J33:L33" si="229">0.21*12*J35</f>
        <v>1612.8</v>
      </c>
      <c r="K33" s="10">
        <f t="shared" si="229"/>
        <v>777.92399999999998</v>
      </c>
      <c r="L33" s="10">
        <f t="shared" si="229"/>
        <v>141.37200000000001</v>
      </c>
      <c r="M33" s="10">
        <f t="shared" ref="M33" si="230">0.21*12*M35</f>
        <v>1467.6479999999999</v>
      </c>
      <c r="N33" s="25">
        <v>0.43</v>
      </c>
      <c r="O33" s="10">
        <f t="shared" ref="O33:Q33" si="231">0.43*12*O35</f>
        <v>2672.364</v>
      </c>
      <c r="P33" s="10">
        <f t="shared" si="231"/>
        <v>2629.5360000000001</v>
      </c>
      <c r="Q33" s="10">
        <f t="shared" si="231"/>
        <v>2644.5</v>
      </c>
      <c r="R33" s="10">
        <f t="shared" ref="R33:AO33" si="232">0.43*12*R35</f>
        <v>2647.596</v>
      </c>
      <c r="S33" s="10">
        <f t="shared" si="232"/>
        <v>2595.9960000000001</v>
      </c>
      <c r="T33" s="10">
        <f t="shared" si="232"/>
        <v>2685.78</v>
      </c>
      <c r="U33" s="10">
        <f t="shared" si="232"/>
        <v>2799.8160000000003</v>
      </c>
      <c r="V33" s="10">
        <f t="shared" si="232"/>
        <v>2703.84</v>
      </c>
      <c r="W33" s="10">
        <f t="shared" si="232"/>
        <v>2724.48</v>
      </c>
      <c r="X33" s="10">
        <f t="shared" si="232"/>
        <v>2131.08</v>
      </c>
      <c r="Y33" s="10">
        <f t="shared" si="232"/>
        <v>2680.62</v>
      </c>
      <c r="Z33" s="10">
        <f t="shared" si="232"/>
        <v>2753.8920000000003</v>
      </c>
      <c r="AA33" s="10">
        <f t="shared" ref="AA33" si="233">0.43*12*AA35</f>
        <v>2694.0360000000001</v>
      </c>
      <c r="AB33" s="10">
        <f t="shared" si="232"/>
        <v>2691.4560000000001</v>
      </c>
      <c r="AC33" s="10">
        <f t="shared" si="232"/>
        <v>2669.268</v>
      </c>
      <c r="AD33" s="10">
        <f t="shared" si="232"/>
        <v>2697.1320000000005</v>
      </c>
      <c r="AE33" s="10">
        <f t="shared" si="232"/>
        <v>2695.0679999999998</v>
      </c>
      <c r="AF33" s="10">
        <f t="shared" si="232"/>
        <v>1727.5680000000002</v>
      </c>
      <c r="AG33" s="10">
        <f t="shared" si="232"/>
        <v>1734.7919999999999</v>
      </c>
      <c r="AH33" s="10">
        <f t="shared" si="232"/>
        <v>285.86399999999998</v>
      </c>
      <c r="AI33" s="10">
        <f t="shared" si="232"/>
        <v>2706.42</v>
      </c>
      <c r="AJ33" s="10">
        <f t="shared" si="232"/>
        <v>2731.7040000000002</v>
      </c>
      <c r="AK33" s="10">
        <f t="shared" si="232"/>
        <v>2823.0360000000001</v>
      </c>
      <c r="AL33" s="10">
        <f t="shared" si="232"/>
        <v>2606.3160000000003</v>
      </c>
      <c r="AM33" s="10">
        <f t="shared" si="232"/>
        <v>2695.0679999999998</v>
      </c>
      <c r="AN33" s="10">
        <f t="shared" si="232"/>
        <v>1926.7439999999999</v>
      </c>
      <c r="AO33" s="10">
        <f t="shared" si="232"/>
        <v>2959.7760000000003</v>
      </c>
      <c r="AP33" s="10">
        <f t="shared" ref="AP33" si="234">0.43*12*AP35</f>
        <v>2657.4</v>
      </c>
      <c r="AQ33" s="50">
        <v>0.21</v>
      </c>
      <c r="AR33" s="10">
        <f>0.21*12*AR35</f>
        <v>1366.0920000000001</v>
      </c>
      <c r="AS33" s="10">
        <f t="shared" ref="AS33" si="235">0.21*12*AS35</f>
        <v>1353.492</v>
      </c>
      <c r="AT33" s="25">
        <v>0.71</v>
      </c>
      <c r="AU33" s="10">
        <f>0.71*12*AU35</f>
        <v>5236.3919999999998</v>
      </c>
      <c r="AV33" s="10">
        <f t="shared" ref="AV33:AX33" si="236">0.71*12*AV35</f>
        <v>3526.4279999999994</v>
      </c>
      <c r="AW33" s="10">
        <f t="shared" si="236"/>
        <v>6529.7279999999992</v>
      </c>
      <c r="AX33" s="10">
        <f t="shared" si="236"/>
        <v>3960.096</v>
      </c>
      <c r="AY33" s="10">
        <f>0.71*12*AY35</f>
        <v>4357.9799999999996</v>
      </c>
      <c r="AZ33" s="10">
        <f t="shared" ref="AZ33:BB33" si="237">0.71*12*AZ35</f>
        <v>4386.9479999999994</v>
      </c>
      <c r="BA33" s="10">
        <f t="shared" si="237"/>
        <v>3505.98</v>
      </c>
      <c r="BB33" s="10">
        <f t="shared" si="237"/>
        <v>3459.9720000000002</v>
      </c>
      <c r="BC33" s="10">
        <f>0.71*12*BC35</f>
        <v>3523.02</v>
      </c>
      <c r="BD33" s="10">
        <f t="shared" ref="BD33:BF33" si="238">0.71*12*BD35</f>
        <v>3507.6839999999997</v>
      </c>
      <c r="BE33" s="10">
        <f t="shared" si="238"/>
        <v>9458.9040000000005</v>
      </c>
      <c r="BF33" s="10">
        <f t="shared" si="238"/>
        <v>9514.2839999999997</v>
      </c>
      <c r="BG33" s="10">
        <f t="shared" ref="BG33:BH33" si="239">0.71*12*BG35</f>
        <v>6094.3559999999989</v>
      </c>
      <c r="BH33" s="10">
        <f t="shared" si="239"/>
        <v>4379.28</v>
      </c>
      <c r="BI33" s="10">
        <f t="shared" ref="BI33" si="240">0.71*12*BI35</f>
        <v>6315.8759999999993</v>
      </c>
    </row>
    <row r="34" spans="1:64" s="1" customFormat="1">
      <c r="A34" s="89" t="s">
        <v>2</v>
      </c>
      <c r="B34" s="90"/>
      <c r="C34" s="90"/>
      <c r="D34" s="90"/>
      <c r="E34" s="90"/>
      <c r="F34" s="91"/>
      <c r="G34" s="29"/>
      <c r="H34" s="41"/>
      <c r="I34" s="13">
        <f t="shared" ref="I34:L34" si="241">I14+I22+I28</f>
        <v>162769.68</v>
      </c>
      <c r="J34" s="13">
        <f t="shared" si="241"/>
        <v>166809.60000000001</v>
      </c>
      <c r="K34" s="13">
        <f t="shared" si="241"/>
        <v>80459.567999999999</v>
      </c>
      <c r="L34" s="13">
        <f t="shared" si="241"/>
        <v>14621.904000000002</v>
      </c>
      <c r="M34" s="13">
        <f t="shared" ref="M34" si="242">M14+M22+M28</f>
        <v>151796.73599999998</v>
      </c>
      <c r="N34" s="37"/>
      <c r="O34" s="13">
        <f t="shared" ref="O34:Q34" si="243">O14+O22+O28</f>
        <v>134799.01199999999</v>
      </c>
      <c r="P34" s="13">
        <f t="shared" si="243"/>
        <v>132638.68800000002</v>
      </c>
      <c r="Q34" s="13">
        <f t="shared" si="243"/>
        <v>133393.5</v>
      </c>
      <c r="R34" s="13">
        <f t="shared" ref="R34:AO34" si="244">R14+R22+R28</f>
        <v>133549.66800000001</v>
      </c>
      <c r="S34" s="13">
        <f t="shared" si="244"/>
        <v>130946.86800000002</v>
      </c>
      <c r="T34" s="13">
        <f t="shared" si="244"/>
        <v>135475.74</v>
      </c>
      <c r="U34" s="13">
        <f t="shared" si="244"/>
        <v>141227.92799999999</v>
      </c>
      <c r="V34" s="13">
        <f t="shared" si="244"/>
        <v>136386.72</v>
      </c>
      <c r="W34" s="13">
        <f t="shared" si="244"/>
        <v>137427.84</v>
      </c>
      <c r="X34" s="13">
        <f t="shared" si="244"/>
        <v>107495.64000000001</v>
      </c>
      <c r="Y34" s="13">
        <f t="shared" si="244"/>
        <v>135215.46</v>
      </c>
      <c r="Z34" s="13">
        <f t="shared" si="244"/>
        <v>138911.43600000002</v>
      </c>
      <c r="AA34" s="13">
        <f t="shared" ref="AA34" si="245">AA14+AA22+AA28</f>
        <v>135892.18800000002</v>
      </c>
      <c r="AB34" s="13">
        <f t="shared" si="244"/>
        <v>135762.04800000001</v>
      </c>
      <c r="AC34" s="13">
        <f t="shared" si="244"/>
        <v>134642.84399999998</v>
      </c>
      <c r="AD34" s="13">
        <f t="shared" si="244"/>
        <v>136048.356</v>
      </c>
      <c r="AE34" s="13">
        <f t="shared" si="244"/>
        <v>135944.24400000001</v>
      </c>
      <c r="AF34" s="13">
        <f t="shared" si="244"/>
        <v>87141.744000000006</v>
      </c>
      <c r="AG34" s="13">
        <f t="shared" si="244"/>
        <v>87506.135999999999</v>
      </c>
      <c r="AH34" s="13">
        <f t="shared" si="244"/>
        <v>14419.512000000002</v>
      </c>
      <c r="AI34" s="13">
        <f t="shared" si="244"/>
        <v>136516.85999999999</v>
      </c>
      <c r="AJ34" s="13">
        <f t="shared" si="244"/>
        <v>137792.23199999999</v>
      </c>
      <c r="AK34" s="13">
        <f t="shared" si="244"/>
        <v>142399.18800000002</v>
      </c>
      <c r="AL34" s="13">
        <f t="shared" si="244"/>
        <v>131467.42799999999</v>
      </c>
      <c r="AM34" s="13">
        <f t="shared" si="244"/>
        <v>135944.24400000001</v>
      </c>
      <c r="AN34" s="13">
        <f t="shared" si="244"/>
        <v>97188.551999999996</v>
      </c>
      <c r="AO34" s="13">
        <f t="shared" si="244"/>
        <v>149296.60800000001</v>
      </c>
      <c r="AP34" s="13">
        <f t="shared" ref="AP34:AS34" si="246">AP14+AP22+AP28</f>
        <v>134044.20000000001</v>
      </c>
      <c r="AQ34" s="52">
        <f t="shared" si="246"/>
        <v>21.35</v>
      </c>
      <c r="AR34" s="13">
        <f t="shared" si="246"/>
        <v>138886.02000000002</v>
      </c>
      <c r="AS34" s="13">
        <f t="shared" si="246"/>
        <v>137605.02000000002</v>
      </c>
      <c r="AT34" s="29"/>
      <c r="AU34" s="13">
        <f>AU14+AU22+AU28</f>
        <v>134597.4</v>
      </c>
      <c r="AV34" s="13">
        <f t="shared" ref="AV34:AX34" si="247">AV14+AV22+AV28</f>
        <v>90644.1</v>
      </c>
      <c r="AW34" s="13">
        <f t="shared" si="247"/>
        <v>167841.59999999998</v>
      </c>
      <c r="AX34" s="13">
        <f t="shared" si="247"/>
        <v>101791.20000000001</v>
      </c>
      <c r="AY34" s="13">
        <f>AY14+AY22+AY28</f>
        <v>112018.5</v>
      </c>
      <c r="AZ34" s="13">
        <f t="shared" ref="AZ34:BB34" si="248">AZ14+AZ22+AZ28</f>
        <v>112763.1</v>
      </c>
      <c r="BA34" s="13">
        <f t="shared" si="248"/>
        <v>90118.5</v>
      </c>
      <c r="BB34" s="13">
        <f t="shared" si="248"/>
        <v>88935.900000000009</v>
      </c>
      <c r="BC34" s="13">
        <f>BC14+BC22+BC28</f>
        <v>90556.5</v>
      </c>
      <c r="BD34" s="13">
        <f t="shared" ref="BD34:BF34" si="249">BD14+BD22+BD28</f>
        <v>90162.3</v>
      </c>
      <c r="BE34" s="13">
        <f t="shared" si="249"/>
        <v>243133.80000000005</v>
      </c>
      <c r="BF34" s="13">
        <f t="shared" si="249"/>
        <v>244557.3</v>
      </c>
      <c r="BG34" s="13">
        <f t="shared" ref="BG34:BH34" si="250">BG14+BG22+BG28</f>
        <v>156650.70000000001</v>
      </c>
      <c r="BH34" s="13">
        <f t="shared" si="250"/>
        <v>112565.99999999999</v>
      </c>
      <c r="BI34" s="13">
        <f t="shared" ref="BI34" si="251">BI14+BI22+BI28</f>
        <v>162344.69999999998</v>
      </c>
      <c r="BJ34" s="18">
        <f>SUM(H34:BI34)</f>
        <v>6381126.3619999997</v>
      </c>
      <c r="BK34" s="1">
        <f>BJ34/12*0.05</f>
        <v>26588.026508333332</v>
      </c>
    </row>
    <row r="35" spans="1:64" s="15" customFormat="1">
      <c r="A35" s="85" t="s">
        <v>1</v>
      </c>
      <c r="B35" s="85"/>
      <c r="C35" s="85"/>
      <c r="D35" s="85"/>
      <c r="E35" s="85"/>
      <c r="F35" s="85"/>
      <c r="G35" s="30"/>
      <c r="H35" s="42"/>
      <c r="I35" s="20" t="s">
        <v>65</v>
      </c>
      <c r="J35" s="20" t="s">
        <v>66</v>
      </c>
      <c r="K35" s="20" t="s">
        <v>67</v>
      </c>
      <c r="L35" s="20" t="s">
        <v>68</v>
      </c>
      <c r="M35" s="20" t="s">
        <v>69</v>
      </c>
      <c r="N35" s="46"/>
      <c r="O35" s="47">
        <v>517.9</v>
      </c>
      <c r="P35" s="47">
        <v>509.6</v>
      </c>
      <c r="Q35" s="47">
        <v>512.5</v>
      </c>
      <c r="R35" s="47">
        <v>513.1</v>
      </c>
      <c r="S35" s="47">
        <v>503.1</v>
      </c>
      <c r="T35" s="47">
        <v>520.5</v>
      </c>
      <c r="U35" s="47">
        <v>542.6</v>
      </c>
      <c r="V35" s="47">
        <v>524</v>
      </c>
      <c r="W35" s="47">
        <v>528</v>
      </c>
      <c r="X35" s="47">
        <v>413</v>
      </c>
      <c r="Y35" s="47">
        <v>519.5</v>
      </c>
      <c r="Z35" s="47">
        <v>533.70000000000005</v>
      </c>
      <c r="AA35" s="47">
        <v>522.1</v>
      </c>
      <c r="AB35" s="47">
        <v>521.6</v>
      </c>
      <c r="AC35" s="47">
        <v>517.29999999999995</v>
      </c>
      <c r="AD35" s="47">
        <v>522.70000000000005</v>
      </c>
      <c r="AE35" s="47">
        <v>522.29999999999995</v>
      </c>
      <c r="AF35" s="47">
        <v>334.8</v>
      </c>
      <c r="AG35" s="47">
        <v>336.2</v>
      </c>
      <c r="AH35" s="47">
        <v>55.4</v>
      </c>
      <c r="AI35" s="47">
        <v>524.5</v>
      </c>
      <c r="AJ35" s="47">
        <v>529.4</v>
      </c>
      <c r="AK35" s="47">
        <v>547.1</v>
      </c>
      <c r="AL35" s="47">
        <v>505.1</v>
      </c>
      <c r="AM35" s="47">
        <v>522.29999999999995</v>
      </c>
      <c r="AN35" s="47">
        <v>373.4</v>
      </c>
      <c r="AO35" s="47">
        <v>573.6</v>
      </c>
      <c r="AP35" s="47">
        <v>515</v>
      </c>
      <c r="AQ35" s="53"/>
      <c r="AR35" s="54" t="s">
        <v>85</v>
      </c>
      <c r="AS35" s="54" t="s">
        <v>86</v>
      </c>
      <c r="AT35" s="46"/>
      <c r="AU35" s="44" t="s">
        <v>102</v>
      </c>
      <c r="AV35" s="44" t="s">
        <v>103</v>
      </c>
      <c r="AW35" s="44" t="s">
        <v>104</v>
      </c>
      <c r="AX35" s="44" t="s">
        <v>105</v>
      </c>
      <c r="AY35" s="44" t="s">
        <v>106</v>
      </c>
      <c r="AZ35" s="44" t="s">
        <v>107</v>
      </c>
      <c r="BA35" s="44" t="s">
        <v>108</v>
      </c>
      <c r="BB35" s="44" t="s">
        <v>109</v>
      </c>
      <c r="BC35" s="44" t="s">
        <v>110</v>
      </c>
      <c r="BD35" s="44" t="s">
        <v>111</v>
      </c>
      <c r="BE35" s="44" t="s">
        <v>112</v>
      </c>
      <c r="BF35" s="44" t="s">
        <v>113</v>
      </c>
      <c r="BG35" s="44" t="s">
        <v>114</v>
      </c>
      <c r="BH35" s="44" t="s">
        <v>115</v>
      </c>
      <c r="BI35" s="44" t="s">
        <v>116</v>
      </c>
      <c r="BJ35" s="1"/>
      <c r="BK35" s="1"/>
      <c r="BL35" s="1"/>
    </row>
    <row r="36" spans="1:64" s="2" customFormat="1" ht="25.5" customHeight="1">
      <c r="A36" s="77" t="s">
        <v>49</v>
      </c>
      <c r="B36" s="78"/>
      <c r="C36" s="78"/>
      <c r="D36" s="78"/>
      <c r="E36" s="78"/>
      <c r="F36" s="79"/>
      <c r="G36" s="31"/>
      <c r="H36" s="43">
        <f t="shared" ref="H36" si="252">H14+H22+H28</f>
        <v>21.72</v>
      </c>
      <c r="I36" s="14">
        <f t="shared" ref="I36:L36" si="253">I34/12/I35</f>
        <v>21.72</v>
      </c>
      <c r="J36" s="14">
        <f t="shared" si="253"/>
        <v>21.720000000000002</v>
      </c>
      <c r="K36" s="14">
        <f t="shared" si="253"/>
        <v>21.72</v>
      </c>
      <c r="L36" s="14">
        <f t="shared" si="253"/>
        <v>21.720000000000002</v>
      </c>
      <c r="M36" s="14">
        <f t="shared" ref="M36" si="254">M34/12/M35</f>
        <v>21.719999999999995</v>
      </c>
      <c r="N36" s="34">
        <v>21.689999999999998</v>
      </c>
      <c r="O36" s="14">
        <f t="shared" ref="O36:Q36" si="255">O34/12/O35</f>
        <v>21.689999999999998</v>
      </c>
      <c r="P36" s="14">
        <f t="shared" si="255"/>
        <v>21.69</v>
      </c>
      <c r="Q36" s="14">
        <f t="shared" si="255"/>
        <v>21.69</v>
      </c>
      <c r="R36" s="14">
        <f t="shared" ref="R36:AO36" si="256">R34/12/R35</f>
        <v>21.69</v>
      </c>
      <c r="S36" s="14">
        <f t="shared" si="256"/>
        <v>21.69</v>
      </c>
      <c r="T36" s="14">
        <f t="shared" si="256"/>
        <v>21.689999999999998</v>
      </c>
      <c r="U36" s="14">
        <f t="shared" si="256"/>
        <v>21.689999999999998</v>
      </c>
      <c r="V36" s="14">
        <f t="shared" si="256"/>
        <v>21.689999999999998</v>
      </c>
      <c r="W36" s="14">
        <f t="shared" si="256"/>
        <v>21.689999999999998</v>
      </c>
      <c r="X36" s="14">
        <f t="shared" si="256"/>
        <v>21.69</v>
      </c>
      <c r="Y36" s="14">
        <f t="shared" si="256"/>
        <v>21.69</v>
      </c>
      <c r="Z36" s="14">
        <f t="shared" si="256"/>
        <v>21.69</v>
      </c>
      <c r="AA36" s="14">
        <f t="shared" ref="AA36" si="257">AA34/12/AA35</f>
        <v>21.69</v>
      </c>
      <c r="AB36" s="14">
        <f t="shared" si="256"/>
        <v>21.69</v>
      </c>
      <c r="AC36" s="14">
        <f t="shared" si="256"/>
        <v>21.69</v>
      </c>
      <c r="AD36" s="14">
        <f t="shared" si="256"/>
        <v>21.689999999999998</v>
      </c>
      <c r="AE36" s="14">
        <f t="shared" si="256"/>
        <v>21.69</v>
      </c>
      <c r="AF36" s="14">
        <f t="shared" si="256"/>
        <v>21.69</v>
      </c>
      <c r="AG36" s="14">
        <f t="shared" si="256"/>
        <v>21.69</v>
      </c>
      <c r="AH36" s="14">
        <f t="shared" si="256"/>
        <v>21.690000000000005</v>
      </c>
      <c r="AI36" s="14">
        <f t="shared" si="256"/>
        <v>21.689999999999998</v>
      </c>
      <c r="AJ36" s="14">
        <f t="shared" si="256"/>
        <v>21.69</v>
      </c>
      <c r="AK36" s="14">
        <f t="shared" si="256"/>
        <v>21.69</v>
      </c>
      <c r="AL36" s="14">
        <f t="shared" si="256"/>
        <v>21.689999999999998</v>
      </c>
      <c r="AM36" s="14">
        <f t="shared" si="256"/>
        <v>21.69</v>
      </c>
      <c r="AN36" s="14">
        <f t="shared" si="256"/>
        <v>21.69</v>
      </c>
      <c r="AO36" s="14">
        <f t="shared" si="256"/>
        <v>21.689999999999998</v>
      </c>
      <c r="AP36" s="14">
        <f t="shared" ref="AP36" si="258">AP34/12/AP35</f>
        <v>21.69</v>
      </c>
      <c r="AQ36" s="55">
        <f t="shared" ref="AQ36" si="259">AQ14+AQ22+AQ28</f>
        <v>21.35</v>
      </c>
      <c r="AR36" s="56">
        <f t="shared" ref="AR36:AS36" si="260">AR34 /12/AR35</f>
        <v>21.35</v>
      </c>
      <c r="AS36" s="56">
        <f t="shared" si="260"/>
        <v>21.35</v>
      </c>
      <c r="AT36" s="34">
        <f>AT14+AT22+AT28</f>
        <v>18.249999999999996</v>
      </c>
      <c r="AU36" s="14">
        <f>AU34 /12/AU35</f>
        <v>18.249999999999996</v>
      </c>
      <c r="AV36" s="14">
        <f t="shared" ref="AV36:AX36" si="261">AV34 /12/AV35</f>
        <v>18.25</v>
      </c>
      <c r="AW36" s="14">
        <f t="shared" si="261"/>
        <v>18.249999999999996</v>
      </c>
      <c r="AX36" s="14">
        <f t="shared" si="261"/>
        <v>18.25</v>
      </c>
      <c r="AY36" s="14">
        <f>AY34 /12/AY35</f>
        <v>18.25</v>
      </c>
      <c r="AZ36" s="14">
        <f t="shared" ref="AZ36:BB36" si="262">AZ34 /12/AZ35</f>
        <v>18.250000000000004</v>
      </c>
      <c r="BA36" s="14">
        <f t="shared" si="262"/>
        <v>18.25</v>
      </c>
      <c r="BB36" s="14">
        <f t="shared" si="262"/>
        <v>18.25</v>
      </c>
      <c r="BC36" s="14">
        <f>BC34 /12/BC35</f>
        <v>18.25</v>
      </c>
      <c r="BD36" s="14">
        <f t="shared" ref="BD36:BF36" si="263">BD34 /12/BD35</f>
        <v>18.250000000000004</v>
      </c>
      <c r="BE36" s="14">
        <f t="shared" si="263"/>
        <v>18.250000000000004</v>
      </c>
      <c r="BF36" s="14">
        <f t="shared" si="263"/>
        <v>18.249999999999996</v>
      </c>
      <c r="BG36" s="14">
        <f t="shared" ref="BG36:BH36" si="264">BG34 /12/BG35</f>
        <v>18.25</v>
      </c>
      <c r="BH36" s="14">
        <f t="shared" si="264"/>
        <v>18.249999999999996</v>
      </c>
      <c r="BI36" s="14">
        <f t="shared" ref="BI36" si="265">BI34 /12/BI35</f>
        <v>18.25</v>
      </c>
      <c r="BJ36" s="15"/>
      <c r="BK36" s="15"/>
      <c r="BL36" s="15"/>
    </row>
    <row r="37" spans="1:64" s="2" customFormat="1" ht="25.5" customHeight="1">
      <c r="A37" s="21"/>
      <c r="B37" s="21"/>
      <c r="C37" s="21"/>
      <c r="D37" s="21"/>
      <c r="E37" s="21"/>
      <c r="F37" s="21"/>
      <c r="G37" s="3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15"/>
      <c r="BI37" s="15"/>
      <c r="BJ37" s="15"/>
      <c r="BK37" s="15"/>
      <c r="BL37" s="15"/>
    </row>
    <row r="38" spans="1:64" s="2" customFormat="1" ht="15" customHeight="1">
      <c r="A38" s="21"/>
      <c r="B38" s="21"/>
      <c r="C38" s="21"/>
      <c r="D38" s="21"/>
      <c r="E38" s="21"/>
      <c r="F38" s="21"/>
      <c r="G38" s="32"/>
      <c r="H38" s="35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15"/>
      <c r="BI38" s="15"/>
      <c r="BJ38" s="15"/>
      <c r="BK38" s="15"/>
      <c r="BL38" s="15"/>
    </row>
    <row r="39" spans="1:64" s="2" customFormat="1" ht="15.75" customHeight="1">
      <c r="A39" s="21"/>
      <c r="B39" s="21"/>
      <c r="C39" s="21"/>
      <c r="D39" s="21"/>
      <c r="E39" s="21"/>
      <c r="F39" s="21"/>
      <c r="G39" s="32"/>
      <c r="H39" s="35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15"/>
      <c r="BI39" s="15"/>
      <c r="BJ39" s="15"/>
      <c r="BK39" s="15"/>
      <c r="BL39" s="15"/>
    </row>
    <row r="40" spans="1:64" s="2" customFormat="1" ht="25.5" customHeight="1">
      <c r="A40" s="21"/>
      <c r="B40" s="21"/>
      <c r="C40" s="21"/>
      <c r="D40" s="21"/>
      <c r="E40" s="21"/>
      <c r="F40" s="21"/>
      <c r="G40" s="32"/>
      <c r="H40" s="35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15"/>
      <c r="BI40" s="15"/>
      <c r="BJ40" s="15"/>
      <c r="BK40" s="15"/>
      <c r="BL40" s="15"/>
    </row>
    <row r="41" spans="1:64" s="1" customFormat="1" ht="12.75" customHeight="1">
      <c r="A41" s="6"/>
      <c r="B41" s="6"/>
      <c r="C41" s="6"/>
      <c r="D41" s="6"/>
      <c r="E41" s="6"/>
      <c r="F41" s="6"/>
      <c r="G41" s="23"/>
      <c r="H41" s="33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</row>
    <row r="42" spans="1:64" s="1" customFormat="1" ht="12.75" hidden="1" customHeight="1">
      <c r="A42" s="6"/>
      <c r="B42" s="6"/>
      <c r="C42" s="6"/>
      <c r="D42" s="6"/>
      <c r="E42" s="6"/>
      <c r="F42" s="6"/>
      <c r="G42" s="23"/>
      <c r="H42" s="33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</row>
    <row r="43" spans="1:64" s="1" customFormat="1">
      <c r="A43" s="6"/>
      <c r="B43" s="6"/>
      <c r="C43" s="6"/>
      <c r="D43" s="6"/>
      <c r="E43" s="6"/>
      <c r="F43" s="6"/>
      <c r="G43" s="23"/>
      <c r="H43" s="33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</row>
    <row r="44" spans="1:64" s="1" customFormat="1">
      <c r="A44" s="6"/>
      <c r="B44" s="6"/>
      <c r="C44" s="6"/>
      <c r="D44" s="6"/>
      <c r="E44" s="6"/>
      <c r="F44" s="6"/>
      <c r="G44" s="23"/>
      <c r="H44" s="33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</row>
    <row r="45" spans="1:64" s="1" customFormat="1">
      <c r="A45" s="6" t="s">
        <v>0</v>
      </c>
      <c r="B45" s="6">
        <v>12</v>
      </c>
      <c r="C45" s="6"/>
      <c r="D45" s="6"/>
      <c r="E45" s="6"/>
      <c r="F45" s="6"/>
      <c r="G45" s="23"/>
      <c r="H45" s="33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</row>
    <row r="46" spans="1:64" s="1" customFormat="1">
      <c r="A46" s="6"/>
      <c r="B46" s="6"/>
      <c r="C46" s="6"/>
      <c r="D46" s="6"/>
      <c r="E46" s="6"/>
      <c r="F46" s="6"/>
      <c r="G46" s="23"/>
      <c r="H46" s="33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</row>
  </sheetData>
  <mergeCells count="42">
    <mergeCell ref="A34:F34"/>
    <mergeCell ref="A15:F15"/>
    <mergeCell ref="A10:F10"/>
    <mergeCell ref="A11:F11"/>
    <mergeCell ref="A12:F12"/>
    <mergeCell ref="A13:F13"/>
    <mergeCell ref="A14:F14"/>
    <mergeCell ref="A21:F21"/>
    <mergeCell ref="A22:F22"/>
    <mergeCell ref="A23:F23"/>
    <mergeCell ref="A25:F25"/>
    <mergeCell ref="A26:F26"/>
    <mergeCell ref="A9:F9"/>
    <mergeCell ref="A36:F36"/>
    <mergeCell ref="A28:F28"/>
    <mergeCell ref="A29:F29"/>
    <mergeCell ref="A30:F30"/>
    <mergeCell ref="A33:F33"/>
    <mergeCell ref="A31:F31"/>
    <mergeCell ref="A32:F32"/>
    <mergeCell ref="A35:F35"/>
    <mergeCell ref="A27:F27"/>
    <mergeCell ref="A24:F24"/>
    <mergeCell ref="A16:F16"/>
    <mergeCell ref="A17:F17"/>
    <mergeCell ref="A18:F18"/>
    <mergeCell ref="A19:F19"/>
    <mergeCell ref="A20:F20"/>
    <mergeCell ref="AX6:BI6"/>
    <mergeCell ref="N7:N8"/>
    <mergeCell ref="AQ7:AQ8"/>
    <mergeCell ref="AT7:AT8"/>
    <mergeCell ref="A1:G1"/>
    <mergeCell ref="A2:G2"/>
    <mergeCell ref="A3:G3"/>
    <mergeCell ref="A4:G4"/>
    <mergeCell ref="H7:H8"/>
    <mergeCell ref="A6:F8"/>
    <mergeCell ref="G7:G8"/>
    <mergeCell ref="G6:R6"/>
    <mergeCell ref="AC6:AW6"/>
    <mergeCell ref="H2:M2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лот2</vt:lpstr>
      <vt:lpstr>Лист1</vt:lpstr>
      <vt:lpstr>лот2!Заголовки_для_печати</vt:lpstr>
      <vt:lpstr>лот2!Область_печати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2016-10-14T08:26:17Z</cp:lastPrinted>
  <dcterms:created xsi:type="dcterms:W3CDTF">2013-04-24T10:34:01Z</dcterms:created>
  <dcterms:modified xsi:type="dcterms:W3CDTF">2016-10-19T11:40:55Z</dcterms:modified>
</cp:coreProperties>
</file>